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22680" windowHeight="11320" tabRatio="571" activeTab="0"/>
  </bookViews>
  <sheets>
    <sheet name="Summary Cost Allocation" sheetId="1" r:id="rId1"/>
    <sheet name="Summary" sheetId="2" r:id="rId2"/>
    <sheet name="First" sheetId="3" r:id="rId3"/>
    <sheet name="Arlington" sheetId="4" r:id="rId4"/>
    <sheet name="Alexandria" sheetId="5" r:id="rId5"/>
    <sheet name="Potomac Greens" sheetId="6" r:id="rId6"/>
    <sheet name="Last" sheetId="7" r:id="rId7"/>
    <sheet name="Tornado" sheetId="8" r:id="rId8"/>
  </sheets>
  <definedNames>
    <definedName name="_xlnm.Print_Area" localSheetId="4">'Alexandria'!$A$1:$V$68</definedName>
    <definedName name="_xlnm.Print_Area" localSheetId="3">'Arlington'!$A$1:$T$68</definedName>
    <definedName name="_xlnm.Print_Area" localSheetId="5">'Potomac Greens'!$A$1:$T$68</definedName>
    <definedName name="_xlnm.Print_Area" localSheetId="1">'Summary'!$A$1:$V$76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<sst xmlns="http://schemas.openxmlformats.org/spreadsheetml/2006/main" count="506" uniqueCount="140">
  <si>
    <t>Operating Assets - NOI (SunPark)</t>
  </si>
  <si>
    <t>Operating Assets - NOI (GSA, Avis &amp; SunPark)</t>
  </si>
  <si>
    <t>NPV of Interim Uses - GSA, Avis &amp; SunPark</t>
  </si>
  <si>
    <t>Infrastructure (current dollars)</t>
  </si>
  <si>
    <t>Multifamily</t>
  </si>
  <si>
    <t>Based on Relative Sales Values of Projected Development (1)</t>
  </si>
  <si>
    <t>Notes:</t>
  </si>
  <si>
    <t>Purchase Price</t>
  </si>
  <si>
    <t>Assumptions</t>
  </si>
  <si>
    <t>Insurance</t>
  </si>
  <si>
    <t>Selling Costs</t>
  </si>
  <si>
    <t>Inflation Rate</t>
  </si>
  <si>
    <t>Absorption Period (Years)</t>
  </si>
  <si>
    <t>Absorption Start Year</t>
  </si>
  <si>
    <t>Year</t>
  </si>
  <si>
    <t>Period</t>
  </si>
  <si>
    <t>Revenues</t>
  </si>
  <si>
    <t>Office Absorption</t>
  </si>
  <si>
    <t>Retail Absorption</t>
  </si>
  <si>
    <t>Residential Absorption</t>
  </si>
  <si>
    <t>Hotel Absorption</t>
  </si>
  <si>
    <t>Gross Proceeds</t>
  </si>
  <si>
    <t>Infrastructure Cost</t>
  </si>
  <si>
    <t>Holding Period Costs</t>
  </si>
  <si>
    <t>Taxes</t>
  </si>
  <si>
    <t>CAM</t>
  </si>
  <si>
    <t>Total Holding Period Costs</t>
  </si>
  <si>
    <t>Total Revenues</t>
  </si>
  <si>
    <t>Acquisition and Development Costs</t>
  </si>
  <si>
    <t>Total Acquisition and Development Costs</t>
  </si>
  <si>
    <t>Net Cash Flow</t>
  </si>
  <si>
    <t>Summary</t>
  </si>
  <si>
    <t>Internal Rate of Return</t>
  </si>
  <si>
    <t>Net Present Value @</t>
  </si>
  <si>
    <t>For NPV Calculation</t>
  </si>
  <si>
    <t>Net Present Value Cash Flow Stream</t>
  </si>
  <si>
    <t>Total SF</t>
  </si>
  <si>
    <t>Value per SF</t>
  </si>
  <si>
    <t>SF Absorbed per Year</t>
  </si>
  <si>
    <t>Office</t>
  </si>
  <si>
    <t>Retail</t>
  </si>
  <si>
    <t>Resid.</t>
  </si>
  <si>
    <t>Hotel</t>
  </si>
  <si>
    <t>Value per Unit / Key</t>
  </si>
  <si>
    <t>Taxes per SF</t>
  </si>
  <si>
    <t>CAM Charges per SF</t>
  </si>
  <si>
    <t>Insurance per Year</t>
  </si>
  <si>
    <t>Office Absorption Account</t>
  </si>
  <si>
    <t>Balance - BOY</t>
  </si>
  <si>
    <t>SF Absorbed</t>
  </si>
  <si>
    <t>Balance - EOY</t>
  </si>
  <si>
    <t>Additions</t>
  </si>
  <si>
    <t>Retail Absorption Account</t>
  </si>
  <si>
    <t>Residential Absorption Account</t>
  </si>
  <si>
    <t>Hotel Absorption Account</t>
  </si>
  <si>
    <t>Total Absorption Account</t>
  </si>
  <si>
    <t>Total Taxes in 2000</t>
  </si>
  <si>
    <t>On-Site Improv. Cost in 2000</t>
  </si>
  <si>
    <t>On-Site Improv. Cost</t>
  </si>
  <si>
    <t>Office On-Site Improv. Cost</t>
  </si>
  <si>
    <t>Retail On-Site Improv. Cost</t>
  </si>
  <si>
    <t>Residential On-Site Improv. Cost</t>
  </si>
  <si>
    <t>Hotel On-Site Improv. Cost</t>
  </si>
  <si>
    <t>Multi-family</t>
  </si>
  <si>
    <t>Townhouse</t>
  </si>
  <si>
    <t>S. Twnhouse</t>
  </si>
  <si>
    <t>Total Units / Keys</t>
  </si>
  <si>
    <t>Value per Unit</t>
  </si>
  <si>
    <t>Total Units</t>
  </si>
  <si>
    <t>SF per Unit</t>
  </si>
  <si>
    <t>Weighted Average Value per SF</t>
  </si>
  <si>
    <t>N/A</t>
  </si>
  <si>
    <t>Weighted Average Value per Unit</t>
  </si>
  <si>
    <t>Operating Assets - NOI (GSA &amp; Avis)</t>
  </si>
  <si>
    <t>Residential Breakdown</t>
  </si>
  <si>
    <t>Infrast.Cost (sewer, road, bridge)</t>
  </si>
  <si>
    <t>Spcl. Assmnt. per SF (at permit)</t>
  </si>
  <si>
    <t>Operating Assets - Total CF (DCS &amp; FedEx)</t>
  </si>
  <si>
    <t>NPV of Interim Uses - GSA &amp; Avis</t>
  </si>
  <si>
    <t>NPV of Interim Uses - DCS &amp; FedEx</t>
  </si>
  <si>
    <t>NPV of Interim Uses - SunPark</t>
  </si>
  <si>
    <t>1. Based on Actual Sales prices for Potomac Greens and Potomac Plaza and estimated 2003 sales prices per the Potomac Yard Land Development Model Version 2002H.</t>
  </si>
  <si>
    <t>Total SF (2)</t>
  </si>
  <si>
    <t>2. Based on Potomac Yard Development Model Version 2002H.</t>
  </si>
  <si>
    <t xml:space="preserve"> </t>
  </si>
  <si>
    <t>Summary - Land Valuation Analysis (Base Case - Before On-Site Improvement Costs)</t>
  </si>
  <si>
    <t>Alexandria - Land Valuation Analysis (Base Case - Before On-Site Improvement Costs)</t>
  </si>
  <si>
    <t>Potomac Greens - Land Valuation Analysis (Base Case - Before On-Site Improvement Costs)</t>
  </si>
  <si>
    <t>Arlington - Land Valuation Analysis (Base Case - Before On-Site Improvement Costs)</t>
  </si>
  <si>
    <t>Land Value</t>
  </si>
  <si>
    <t>Total SF FAR</t>
  </si>
  <si>
    <t>Land Value per SF</t>
  </si>
  <si>
    <t>Development Breakdown</t>
  </si>
  <si>
    <t>Value in 2000 ($)</t>
  </si>
  <si>
    <t>Gross Value</t>
  </si>
  <si>
    <t>NPV of Interim Uses</t>
  </si>
  <si>
    <t>Total Purchase Price</t>
  </si>
  <si>
    <t>Infrastructure Timetable (Constant $)</t>
  </si>
  <si>
    <t>Infrastructure (Nominal $)</t>
  </si>
  <si>
    <t>Infrastructure Cost (Current $)</t>
  </si>
  <si>
    <t>(Current $)</t>
  </si>
  <si>
    <t>Total Gross Value (Current $)</t>
  </si>
  <si>
    <t>% Increase in Land Value</t>
  </si>
  <si>
    <t>WHP Fee @</t>
  </si>
  <si>
    <t>WHP Fee</t>
  </si>
  <si>
    <t>Alexandria Value</t>
  </si>
  <si>
    <t>Potomac Greens Value</t>
  </si>
  <si>
    <t>Arlington Value</t>
  </si>
  <si>
    <t>Total Value</t>
  </si>
  <si>
    <t>Infrastructure, contaminated soils, closing &amp; litigation</t>
  </si>
  <si>
    <t>Pre-tax Internal Rate of Return</t>
  </si>
  <si>
    <t>Estimated EBIT*</t>
  </si>
  <si>
    <t>Lot Prices plus/minus 10%</t>
  </si>
  <si>
    <t>Base Case</t>
  </si>
  <si>
    <t>Commence absorption plus/minus 2 years</t>
  </si>
  <si>
    <t>Value Growth plus/minus 3%</t>
  </si>
  <si>
    <t>Absorption periods plus/minus 1 year</t>
  </si>
  <si>
    <t>Infrastructure costs plus/minus 10%</t>
  </si>
  <si>
    <t>Delta from minimum</t>
  </si>
  <si>
    <t>Potomac Yard</t>
  </si>
  <si>
    <t>Revised 10/16/2000</t>
  </si>
  <si>
    <t>After tax cash flow</t>
  </si>
  <si>
    <t>After tax IRR</t>
  </si>
  <si>
    <t>Land and Infrastructure Cost Allocations</t>
  </si>
  <si>
    <t>Projected Development:</t>
  </si>
  <si>
    <t>Residential</t>
  </si>
  <si>
    <t>TOTAL</t>
  </si>
  <si>
    <t>Value as % of Total</t>
  </si>
  <si>
    <t>Projected Costs:</t>
  </si>
  <si>
    <t>Land Acquisition</t>
  </si>
  <si>
    <t>Infrastructure</t>
  </si>
  <si>
    <t>Total Land and Infrastructure</t>
  </si>
  <si>
    <t>Allocation by Product Type:</t>
  </si>
  <si>
    <t>Average Land and Infrastructure per SF</t>
  </si>
  <si>
    <t>Average Land and Infrastructure per Unit</t>
  </si>
  <si>
    <t>Gross Value per SF/Unit</t>
  </si>
  <si>
    <t>Arlington</t>
  </si>
  <si>
    <t>Alexandria</t>
  </si>
  <si>
    <t>Potomac</t>
  </si>
  <si>
    <t>Greens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</si>
</sst>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_);\(0\)"/>
    <numFmt numFmtId="174" formatCode="0.00_);\(0.00\)"/>
    <numFmt numFmtId="175" formatCode="&quot;$&quot;#,##0.0_);[Red]\(&quot;$&quot;#,##0.0\)"/>
    <numFmt numFmtId="176" formatCode="&quot;$&quot;#,##0.0_);\(&quot;$&quot;#,##0.0\)"/>
    <numFmt numFmtId="177" formatCode="&quot;$&quot;#,##0.000_);\(&quot;$&quot;#,##0.000\)"/>
    <numFmt numFmtId="178" formatCode="&quot;$&quot;#,##0.0000_);\(&quot;$&quot;#,##0.0000\)"/>
    <numFmt numFmtId="179" formatCode="&quot;$&quot;#,##0.00000_);\(&quot;$&quot;#,##0.00000\)"/>
    <numFmt numFmtId="180" formatCode="0.00000"/>
    <numFmt numFmtId="181" formatCode="0.0000"/>
    <numFmt numFmtId="182" formatCode="0.000"/>
    <numFmt numFmtId="183" formatCode="0.0"/>
    <numFmt numFmtId="184" formatCode="0.0000000"/>
    <numFmt numFmtId="185" formatCode="0.000000"/>
    <numFmt numFmtId="186" formatCode="#,##0.0_);\(#,##0.0\)"/>
    <numFmt numFmtId="187" formatCode="0.000%"/>
    <numFmt numFmtId="188" formatCode="0.0000%"/>
    <numFmt numFmtId="189" formatCode="0.00000%"/>
    <numFmt numFmtId="190" formatCode="0.000000%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??_);_(@_)"/>
    <numFmt numFmtId="195" formatCode="_(&quot;$&quot;* #,##0.0_);_(&quot;$&quot;* \(#,##0.0\);_(&quot;$&quot;* &quot;-&quot;??_);_(@_)"/>
    <numFmt numFmtId="196" formatCode="_(&quot;$&quot;* #,##0_);_(&quot;$&quot;* \(#,##0\);_(&quot;$&quot;* &quot;-&quot;??_);_(@_)"/>
  </numFmts>
  <fonts count="8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5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" xfId="0" applyBorder="1" applyAlignment="1">
      <alignment/>
    </xf>
    <xf numFmtId="173" fontId="0" fillId="0" borderId="1" xfId="0" applyNumberFormat="1" applyBorder="1" applyAlignment="1">
      <alignment/>
    </xf>
    <xf numFmtId="0" fontId="3" fillId="0" borderId="0" xfId="0" applyFont="1" applyAlignment="1">
      <alignment horizontal="right"/>
    </xf>
    <xf numFmtId="37" fontId="3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 horizontal="left"/>
    </xf>
    <xf numFmtId="6" fontId="0" fillId="0" borderId="0" xfId="0" applyNumberFormat="1" applyAlignment="1">
      <alignment/>
    </xf>
    <xf numFmtId="7" fontId="0" fillId="0" borderId="0" xfId="0" applyNumberFormat="1" applyAlignment="1">
      <alignment/>
    </xf>
    <xf numFmtId="5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5" fontId="3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0" fillId="0" borderId="0" xfId="19" applyFont="1" applyAlignment="1">
      <alignment/>
    </xf>
    <xf numFmtId="9" fontId="0" fillId="0" borderId="0" xfId="19" applyNumberFormat="1" applyFont="1" applyAlignment="1">
      <alignment/>
    </xf>
    <xf numFmtId="0" fontId="0" fillId="0" borderId="0" xfId="0" applyAlignment="1" quotePrefix="1">
      <alignment/>
    </xf>
    <xf numFmtId="192" fontId="0" fillId="0" borderId="0" xfId="15" applyNumberFormat="1" applyFont="1" applyAlignment="1">
      <alignment/>
    </xf>
    <xf numFmtId="192" fontId="0" fillId="0" borderId="0" xfId="0" applyNumberFormat="1" applyAlignment="1">
      <alignment/>
    </xf>
    <xf numFmtId="192" fontId="0" fillId="0" borderId="0" xfId="15" applyNumberFormat="1" applyFont="1" applyAlignment="1">
      <alignment horizontal="left"/>
    </xf>
    <xf numFmtId="172" fontId="0" fillId="0" borderId="0" xfId="0" applyNumberFormat="1" applyAlignment="1">
      <alignment horizontal="left"/>
    </xf>
    <xf numFmtId="6" fontId="0" fillId="0" borderId="1" xfId="0" applyNumberFormat="1" applyBorder="1" applyAlignment="1">
      <alignment/>
    </xf>
    <xf numFmtId="6" fontId="0" fillId="0" borderId="2" xfId="0" applyNumberFormat="1" applyBorder="1" applyAlignment="1">
      <alignment/>
    </xf>
    <xf numFmtId="0" fontId="4" fillId="0" borderId="0" xfId="0" applyFont="1" applyAlignment="1">
      <alignment/>
    </xf>
    <xf numFmtId="10" fontId="4" fillId="0" borderId="3" xfId="0" applyNumberFormat="1" applyFont="1" applyBorder="1" applyAlignment="1">
      <alignment/>
    </xf>
    <xf numFmtId="172" fontId="0" fillId="0" borderId="0" xfId="19" applyNumberFormat="1" applyFont="1" applyAlignment="1">
      <alignment horizontal="left" indent="2"/>
    </xf>
    <xf numFmtId="10" fontId="4" fillId="0" borderId="0" xfId="0" applyNumberFormat="1" applyFont="1" applyBorder="1" applyAlignment="1">
      <alignment/>
    </xf>
    <xf numFmtId="192" fontId="4" fillId="0" borderId="3" xfId="15" applyNumberFormat="1" applyFont="1" applyBorder="1" applyAlignment="1">
      <alignment/>
    </xf>
    <xf numFmtId="192" fontId="0" fillId="0" borderId="3" xfId="15" applyNumberFormat="1" applyFont="1" applyBorder="1" applyAlignment="1">
      <alignment/>
    </xf>
    <xf numFmtId="192" fontId="0" fillId="0" borderId="3" xfId="15" applyNumberFormat="1" applyFont="1" applyBorder="1" applyAlignment="1">
      <alignment/>
    </xf>
    <xf numFmtId="192" fontId="1" fillId="0" borderId="0" xfId="15" applyNumberFormat="1" applyFont="1" applyAlignment="1">
      <alignment/>
    </xf>
    <xf numFmtId="192" fontId="0" fillId="0" borderId="0" xfId="15" applyNumberFormat="1" applyAlignment="1">
      <alignment/>
    </xf>
    <xf numFmtId="192" fontId="5" fillId="0" borderId="0" xfId="15" applyNumberFormat="1" applyFont="1" applyAlignment="1">
      <alignment/>
    </xf>
    <xf numFmtId="192" fontId="0" fillId="0" borderId="0" xfId="15" applyNumberFormat="1" applyFont="1" applyAlignment="1">
      <alignment/>
    </xf>
    <xf numFmtId="192" fontId="6" fillId="0" borderId="0" xfId="15" applyNumberFormat="1" applyFont="1" applyAlignment="1">
      <alignment horizontal="center"/>
    </xf>
    <xf numFmtId="192" fontId="0" fillId="0" borderId="0" xfId="15" applyNumberFormat="1" applyFont="1" applyAlignment="1">
      <alignment horizontal="right"/>
    </xf>
    <xf numFmtId="188" fontId="0" fillId="0" borderId="0" xfId="19" applyNumberFormat="1" applyAlignment="1">
      <alignment/>
    </xf>
    <xf numFmtId="192" fontId="0" fillId="0" borderId="4" xfId="15" applyNumberFormat="1" applyBorder="1" applyAlignment="1">
      <alignment/>
    </xf>
    <xf numFmtId="192" fontId="0" fillId="0" borderId="0" xfId="15" applyNumberFormat="1" applyBorder="1" applyAlignment="1">
      <alignment/>
    </xf>
    <xf numFmtId="44" fontId="0" fillId="0" borderId="0" xfId="17" applyAlignment="1">
      <alignment/>
    </xf>
    <xf numFmtId="196" fontId="0" fillId="0" borderId="0" xfId="17" applyNumberFormat="1" applyAlignment="1">
      <alignment/>
    </xf>
    <xf numFmtId="192" fontId="4" fillId="0" borderId="0" xfId="15" applyNumberFormat="1" applyFont="1" applyAlignment="1">
      <alignment horizontal="center"/>
    </xf>
    <xf numFmtId="192" fontId="4" fillId="0" borderId="0" xfId="15" applyNumberFormat="1" applyFont="1" applyBorder="1" applyAlignment="1">
      <alignment/>
    </xf>
    <xf numFmtId="196" fontId="0" fillId="0" borderId="4" xfId="17" applyNumberFormat="1" applyBorder="1" applyAlignment="1">
      <alignment/>
    </xf>
    <xf numFmtId="43" fontId="0" fillId="0" borderId="0" xfId="17" applyNumberFormat="1" applyAlignment="1">
      <alignment/>
    </xf>
    <xf numFmtId="196" fontId="0" fillId="0" borderId="0" xfId="17" applyNumberFormat="1" applyFont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workbookViewId="0" topLeftCell="A1">
      <selection activeCell="F29" sqref="F29"/>
    </sheetView>
  </sheetViews>
  <sheetFormatPr defaultColWidth="15.7109375" defaultRowHeight="12.75"/>
  <cols>
    <col min="1" max="1" width="36.140625" style="39" customWidth="1"/>
    <col min="2" max="16384" width="15.7109375" style="39" customWidth="1"/>
  </cols>
  <sheetData>
    <row r="1" ht="15">
      <c r="A1" s="38" t="s">
        <v>119</v>
      </c>
    </row>
    <row r="2" ht="15">
      <c r="A2" s="38" t="s">
        <v>123</v>
      </c>
    </row>
    <row r="3" ht="15">
      <c r="A3" s="38" t="s">
        <v>5</v>
      </c>
    </row>
    <row r="5" spans="1:7" ht="12">
      <c r="A5" s="50"/>
      <c r="G5" s="49" t="s">
        <v>138</v>
      </c>
    </row>
    <row r="6" spans="1:7" ht="12">
      <c r="A6" s="40" t="s">
        <v>124</v>
      </c>
      <c r="D6" s="49" t="s">
        <v>136</v>
      </c>
      <c r="E6" s="49" t="s">
        <v>137</v>
      </c>
      <c r="F6" s="49" t="s">
        <v>137</v>
      </c>
      <c r="G6" s="49" t="s">
        <v>139</v>
      </c>
    </row>
    <row r="7" spans="1:9" ht="15">
      <c r="A7" s="41"/>
      <c r="B7" s="42" t="s">
        <v>39</v>
      </c>
      <c r="C7" s="42" t="s">
        <v>40</v>
      </c>
      <c r="D7" s="42" t="s">
        <v>125</v>
      </c>
      <c r="E7" s="42" t="s">
        <v>64</v>
      </c>
      <c r="F7" s="42" t="s">
        <v>4</v>
      </c>
      <c r="G7" s="42" t="s">
        <v>125</v>
      </c>
      <c r="H7" s="42" t="s">
        <v>42</v>
      </c>
      <c r="I7" s="42" t="s">
        <v>126</v>
      </c>
    </row>
    <row r="8" spans="1:9" ht="12">
      <c r="A8" s="41" t="s">
        <v>82</v>
      </c>
      <c r="B8" s="39">
        <v>4778000</v>
      </c>
      <c r="C8" s="39">
        <v>197000</v>
      </c>
      <c r="D8" s="39">
        <v>1000000</v>
      </c>
      <c r="E8" s="39">
        <v>1564000</v>
      </c>
      <c r="F8" s="39">
        <v>901000</v>
      </c>
      <c r="G8" s="39">
        <v>487800</v>
      </c>
      <c r="H8" s="39">
        <v>937500</v>
      </c>
      <c r="I8" s="39">
        <f>SUM(B8:H8)</f>
        <v>9865300</v>
      </c>
    </row>
    <row r="9" spans="1:9" ht="12">
      <c r="A9" s="41" t="s">
        <v>68</v>
      </c>
      <c r="B9" s="43" t="s">
        <v>71</v>
      </c>
      <c r="C9" s="43" t="s">
        <v>71</v>
      </c>
      <c r="D9" s="39">
        <v>1000</v>
      </c>
      <c r="E9" s="41" t="s">
        <v>71</v>
      </c>
      <c r="F9" s="41" t="s">
        <v>71</v>
      </c>
      <c r="G9" s="39">
        <v>244</v>
      </c>
      <c r="H9" s="39">
        <v>1250</v>
      </c>
      <c r="I9" s="39">
        <f>SUM(B9:H9)</f>
        <v>2494</v>
      </c>
    </row>
    <row r="10" spans="1:9" ht="12">
      <c r="A10" s="41" t="s">
        <v>94</v>
      </c>
      <c r="B10" s="48">
        <f>B8*B11</f>
        <v>164745439.99999997</v>
      </c>
      <c r="C10" s="48">
        <f>C8*C11</f>
        <v>6270510</v>
      </c>
      <c r="D10" s="48">
        <f>D8*D11</f>
        <v>37130000</v>
      </c>
      <c r="E10" s="48">
        <f>E8*E11</f>
        <v>89742320</v>
      </c>
      <c r="F10" s="48">
        <f>D8*D11</f>
        <v>37130000</v>
      </c>
      <c r="G10" s="48">
        <f>G9*G11</f>
        <v>28086840</v>
      </c>
      <c r="H10" s="48">
        <f>H8*H11</f>
        <v>33150000</v>
      </c>
      <c r="I10" s="48">
        <f>SUM(B10:H10)</f>
        <v>396255110</v>
      </c>
    </row>
    <row r="11" spans="1:8" ht="12">
      <c r="A11" s="41" t="s">
        <v>135</v>
      </c>
      <c r="B11" s="47">
        <v>34.48</v>
      </c>
      <c r="C11" s="47">
        <v>31.83</v>
      </c>
      <c r="D11" s="52">
        <v>37.13</v>
      </c>
      <c r="E11" s="52">
        <v>57.38</v>
      </c>
      <c r="F11" s="52">
        <v>37.13</v>
      </c>
      <c r="G11" s="48">
        <v>115110</v>
      </c>
      <c r="H11" s="48">
        <v>35.36</v>
      </c>
    </row>
    <row r="12" spans="1:9" ht="12">
      <c r="A12" s="41" t="s">
        <v>127</v>
      </c>
      <c r="B12" s="44">
        <f aca="true" t="shared" si="0" ref="B12:H12">B10/$I$10</f>
        <v>0.4157560012286024</v>
      </c>
      <c r="C12" s="44">
        <f t="shared" si="0"/>
        <v>0.015824426844615328</v>
      </c>
      <c r="D12" s="44">
        <f t="shared" si="0"/>
        <v>0.09370226165663832</v>
      </c>
      <c r="E12" s="44">
        <f t="shared" si="0"/>
        <v>0.22647612039627704</v>
      </c>
      <c r="F12" s="44">
        <f>F10/$I$10</f>
        <v>0.09370226165663832</v>
      </c>
      <c r="G12" s="44">
        <f t="shared" si="0"/>
        <v>0.07088070107158996</v>
      </c>
      <c r="H12" s="44">
        <f t="shared" si="0"/>
        <v>0.08365822714563857</v>
      </c>
      <c r="I12" s="44">
        <f>SUM(B12:H12)</f>
        <v>0.9999999999999999</v>
      </c>
    </row>
    <row r="15" ht="12">
      <c r="A15" s="40" t="s">
        <v>128</v>
      </c>
    </row>
    <row r="16" spans="1:2" ht="12">
      <c r="A16" s="41" t="s">
        <v>129</v>
      </c>
      <c r="B16" s="48">
        <v>122815000</v>
      </c>
    </row>
    <row r="17" spans="1:2" ht="12">
      <c r="A17" s="41" t="s">
        <v>3</v>
      </c>
      <c r="B17" s="46">
        <v>98665299</v>
      </c>
    </row>
    <row r="18" spans="1:2" ht="12">
      <c r="A18" s="41" t="s">
        <v>131</v>
      </c>
      <c r="B18" s="51">
        <f>SUM(B16:B17)</f>
        <v>221480299</v>
      </c>
    </row>
    <row r="19" ht="12">
      <c r="G19" s="49" t="s">
        <v>138</v>
      </c>
    </row>
    <row r="20" spans="4:7" ht="12">
      <c r="D20" s="49" t="s">
        <v>136</v>
      </c>
      <c r="E20" s="49" t="s">
        <v>137</v>
      </c>
      <c r="F20" s="49" t="s">
        <v>137</v>
      </c>
      <c r="G20" s="49" t="s">
        <v>139</v>
      </c>
    </row>
    <row r="21" spans="2:9" ht="15">
      <c r="B21" s="42" t="s">
        <v>39</v>
      </c>
      <c r="C21" s="42" t="s">
        <v>40</v>
      </c>
      <c r="D21" s="42" t="s">
        <v>125</v>
      </c>
      <c r="E21" s="42" t="s">
        <v>64</v>
      </c>
      <c r="F21" s="42" t="s">
        <v>4</v>
      </c>
      <c r="G21" s="42" t="s">
        <v>125</v>
      </c>
      <c r="H21" s="42" t="s">
        <v>42</v>
      </c>
      <c r="I21" s="42" t="s">
        <v>126</v>
      </c>
    </row>
    <row r="22" ht="12">
      <c r="A22" s="40" t="s">
        <v>132</v>
      </c>
    </row>
    <row r="23" spans="1:9" ht="12">
      <c r="A23" s="41" t="s">
        <v>129</v>
      </c>
      <c r="B23" s="39">
        <f aca="true" t="shared" si="1" ref="B23:I23">$B$16*B12</f>
        <v>51061073.290890805</v>
      </c>
      <c r="C23" s="39">
        <f t="shared" si="1"/>
        <v>1943476.9829214315</v>
      </c>
      <c r="D23" s="39">
        <f t="shared" si="1"/>
        <v>11508043.265360035</v>
      </c>
      <c r="E23" s="39">
        <f t="shared" si="1"/>
        <v>27814664.726468764</v>
      </c>
      <c r="F23" s="41">
        <f>B16*F12</f>
        <v>11508043.265360035</v>
      </c>
      <c r="G23" s="39">
        <f t="shared" si="1"/>
        <v>8705213.302107321</v>
      </c>
      <c r="H23" s="39">
        <f t="shared" si="1"/>
        <v>10274485.166891601</v>
      </c>
      <c r="I23" s="39">
        <f t="shared" si="1"/>
        <v>122814999.99999999</v>
      </c>
    </row>
    <row r="24" spans="1:9" ht="12">
      <c r="A24" s="41" t="s">
        <v>130</v>
      </c>
      <c r="B24" s="39">
        <f aca="true" t="shared" si="2" ref="B24:I24">$B$17*B12</f>
        <v>41020690.17226443</v>
      </c>
      <c r="C24" s="39">
        <f t="shared" si="2"/>
        <v>1561321.8061275978</v>
      </c>
      <c r="D24" s="39">
        <f t="shared" si="2"/>
        <v>9245161.663328456</v>
      </c>
      <c r="E24" s="39">
        <f t="shared" si="2"/>
        <v>22345334.135258675</v>
      </c>
      <c r="F24" s="39">
        <f>$B$17*F12</f>
        <v>9245161.663328456</v>
      </c>
      <c r="G24" s="39">
        <f t="shared" si="2"/>
        <v>6993465.564558044</v>
      </c>
      <c r="H24" s="39">
        <f t="shared" si="2"/>
        <v>8254163.995134346</v>
      </c>
      <c r="I24" s="39">
        <f t="shared" si="2"/>
        <v>98665298.99999999</v>
      </c>
    </row>
    <row r="25" spans="1:9" ht="12">
      <c r="A25" s="41" t="s">
        <v>131</v>
      </c>
      <c r="B25" s="45">
        <f aca="true" t="shared" si="3" ref="B25:I25">SUM(B23:B24)</f>
        <v>92081763.46315524</v>
      </c>
      <c r="C25" s="45">
        <f t="shared" si="3"/>
        <v>3504798.7890490294</v>
      </c>
      <c r="D25" s="45">
        <f t="shared" si="3"/>
        <v>20753204.92868849</v>
      </c>
      <c r="E25" s="45">
        <f t="shared" si="3"/>
        <v>50159998.86172744</v>
      </c>
      <c r="F25" s="45">
        <f>SUM(F23:F24)</f>
        <v>20753204.92868849</v>
      </c>
      <c r="G25" s="45">
        <f t="shared" si="3"/>
        <v>15698678.866665365</v>
      </c>
      <c r="H25" s="45">
        <f t="shared" si="3"/>
        <v>18528649.162025947</v>
      </c>
      <c r="I25" s="45">
        <f t="shared" si="3"/>
        <v>221480298.99999997</v>
      </c>
    </row>
    <row r="27" spans="1:9" ht="12">
      <c r="A27" s="41" t="s">
        <v>133</v>
      </c>
      <c r="B27" s="47">
        <f aca="true" t="shared" si="4" ref="B27:H27">B25/B8</f>
        <v>19.272030862945844</v>
      </c>
      <c r="C27" s="47">
        <f t="shared" si="4"/>
        <v>17.790856797203194</v>
      </c>
      <c r="D27" s="47">
        <f t="shared" si="4"/>
        <v>20.75320492868849</v>
      </c>
      <c r="E27" s="47">
        <f t="shared" si="4"/>
        <v>32.07161052540118</v>
      </c>
      <c r="F27" s="47">
        <f>F25/F8</f>
        <v>23.033523783228066</v>
      </c>
      <c r="G27" s="47">
        <f t="shared" si="4"/>
        <v>32.18261350279903</v>
      </c>
      <c r="H27" s="47">
        <f t="shared" si="4"/>
        <v>19.763892439494345</v>
      </c>
      <c r="I27" s="47"/>
    </row>
    <row r="28" spans="1:9" ht="12">
      <c r="A28" s="41" t="s">
        <v>134</v>
      </c>
      <c r="B28" s="43" t="s">
        <v>71</v>
      </c>
      <c r="C28" s="43" t="s">
        <v>71</v>
      </c>
      <c r="D28" s="48">
        <f>D25/D9</f>
        <v>20753.20492868849</v>
      </c>
      <c r="E28" s="53" t="s">
        <v>84</v>
      </c>
      <c r="F28" s="48"/>
      <c r="G28" s="48">
        <f>G25/G9</f>
        <v>64338.847814202316</v>
      </c>
      <c r="H28" s="48">
        <f>H25/H9</f>
        <v>14822.919329620758</v>
      </c>
      <c r="I28" s="48"/>
    </row>
    <row r="30" ht="12">
      <c r="A30" s="41" t="s">
        <v>6</v>
      </c>
    </row>
    <row r="31" ht="12">
      <c r="A31" s="41" t="s">
        <v>81</v>
      </c>
    </row>
    <row r="32" ht="12">
      <c r="A32" s="41" t="s">
        <v>83</v>
      </c>
    </row>
  </sheetData>
  <printOptions/>
  <pageMargins left="0.75" right="0.75" top="1" bottom="1" header="0.5" footer="0.5"/>
  <pageSetup fitToHeight="1" fitToWidth="1" horizontalDpi="600" verticalDpi="600" orientation="landscape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9"/>
  <sheetViews>
    <sheetView workbookViewId="0" topLeftCell="A57">
      <selection activeCell="C39" sqref="C39"/>
    </sheetView>
  </sheetViews>
  <sheetFormatPr defaultColWidth="8.8515625" defaultRowHeight="12.75"/>
  <cols>
    <col min="1" max="3" width="8.8515625" style="0" customWidth="1"/>
    <col min="4" max="4" width="13.28125" style="0" bestFit="1" customWidth="1"/>
    <col min="5" max="5" width="14.421875" style="0" customWidth="1"/>
    <col min="6" max="8" width="11.7109375" style="0" customWidth="1"/>
    <col min="9" max="9" width="12.7109375" style="0" customWidth="1"/>
    <col min="10" max="22" width="11.7109375" style="0" customWidth="1"/>
    <col min="23" max="23" width="12.28125" style="0" bestFit="1" customWidth="1"/>
    <col min="24" max="25" width="11.7109375" style="0" customWidth="1"/>
  </cols>
  <sheetData>
    <row r="1" ht="15">
      <c r="A1" s="2" t="s">
        <v>119</v>
      </c>
    </row>
    <row r="2" ht="15">
      <c r="A2" s="1" t="s">
        <v>85</v>
      </c>
    </row>
    <row r="3" ht="15">
      <c r="A3" s="1" t="s">
        <v>120</v>
      </c>
    </row>
    <row r="5" spans="1:19" ht="12">
      <c r="A5" s="5" t="s">
        <v>8</v>
      </c>
      <c r="I5" s="54" t="s">
        <v>92</v>
      </c>
      <c r="J5" s="54"/>
      <c r="K5" s="54"/>
      <c r="L5" s="54"/>
      <c r="Q5" s="54" t="s">
        <v>74</v>
      </c>
      <c r="R5" s="54"/>
      <c r="S5" s="54"/>
    </row>
    <row r="6" spans="1:25" ht="12">
      <c r="A6" s="12" t="s">
        <v>89</v>
      </c>
      <c r="D6" s="3">
        <f>SUM(First:Last!D6)</f>
        <v>108624511</v>
      </c>
      <c r="I6" s="10" t="s">
        <v>39</v>
      </c>
      <c r="J6" s="10" t="s">
        <v>40</v>
      </c>
      <c r="K6" s="10" t="s">
        <v>41</v>
      </c>
      <c r="L6" s="10" t="s">
        <v>42</v>
      </c>
      <c r="Q6" s="10" t="s">
        <v>63</v>
      </c>
      <c r="R6" s="10" t="s">
        <v>65</v>
      </c>
      <c r="S6" s="10" t="s">
        <v>64</v>
      </c>
      <c r="V6" s="10"/>
      <c r="X6" s="10"/>
      <c r="Y6" s="10"/>
    </row>
    <row r="7" spans="1:25" ht="12">
      <c r="A7" t="s">
        <v>95</v>
      </c>
      <c r="D7" s="20">
        <f>Alexandria!D7+Alexandria!D8+Arlington!D7</f>
        <v>12375488.624111075</v>
      </c>
      <c r="F7" s="12" t="s">
        <v>36</v>
      </c>
      <c r="I7" s="4">
        <f>SUM(First:Last!I7)</f>
        <v>4715000</v>
      </c>
      <c r="J7" s="4">
        <f>SUM(First:Last!J7)</f>
        <v>235000</v>
      </c>
      <c r="K7" s="4">
        <f>SUM(First:Last!K7)</f>
        <v>4529700</v>
      </c>
      <c r="L7" s="4">
        <f>SUM(First:Last!L7)</f>
        <v>1000000</v>
      </c>
      <c r="N7" t="s">
        <v>36</v>
      </c>
      <c r="Q7" s="4">
        <f>SUM(First:Last!Q10)</f>
        <v>1840800</v>
      </c>
      <c r="R7" s="4">
        <f>SUM(First:Last!R10)</f>
        <v>1012500</v>
      </c>
      <c r="S7" s="4">
        <f>SUM(First:Last!S10)</f>
        <v>1676400</v>
      </c>
      <c r="X7" s="4"/>
      <c r="Y7" s="4"/>
    </row>
    <row r="8" spans="1:25" ht="12">
      <c r="A8" t="s">
        <v>7</v>
      </c>
      <c r="D8" s="3">
        <f>SUM(D6:D7)</f>
        <v>120999999.62411107</v>
      </c>
      <c r="F8" t="s">
        <v>66</v>
      </c>
      <c r="I8" s="17" t="s">
        <v>71</v>
      </c>
      <c r="J8" s="17" t="s">
        <v>71</v>
      </c>
      <c r="K8" s="4">
        <f>SUM(First:Last!K10)</f>
        <v>2727</v>
      </c>
      <c r="L8" s="4">
        <f>SUM(First:Last!L10)</f>
        <v>1250</v>
      </c>
      <c r="N8" t="s">
        <v>68</v>
      </c>
      <c r="Q8" s="4">
        <f>SUM(First:Last!Q7)</f>
        <v>1533</v>
      </c>
      <c r="R8" s="4">
        <f>SUM(First:Last!R7)</f>
        <v>608</v>
      </c>
      <c r="S8" s="4">
        <f>SUM(First:Last!S7)</f>
        <v>586</v>
      </c>
      <c r="X8" s="3"/>
      <c r="Y8" s="3"/>
    </row>
    <row r="9" spans="1:25" ht="12">
      <c r="A9" t="s">
        <v>104</v>
      </c>
      <c r="D9" s="20">
        <f>Alexandria!D10+'Potomac Greens'!D7+Arlington!D9</f>
        <v>1814999.994361666</v>
      </c>
      <c r="F9" t="s">
        <v>94</v>
      </c>
      <c r="H9" s="4"/>
      <c r="I9" s="4">
        <f>SUM(First:Last!I9)</f>
        <v>153237500</v>
      </c>
      <c r="J9" s="4">
        <f>SUM(First:Last!J9)</f>
        <v>7050000</v>
      </c>
      <c r="K9" s="4">
        <f>SUM(First:Last!K9)</f>
        <v>144680000</v>
      </c>
      <c r="L9" s="4">
        <f>SUM(First:Last!L9)</f>
        <v>31250000</v>
      </c>
      <c r="N9" t="s">
        <v>94</v>
      </c>
      <c r="Q9" s="3">
        <f>SUM(First:Last!Q9)</f>
        <v>61320000</v>
      </c>
      <c r="R9" s="3">
        <f>SUM(First:Last!R9)</f>
        <v>36480000</v>
      </c>
      <c r="S9" s="3">
        <f>SUM(First:Last!S9)</f>
        <v>46880000</v>
      </c>
      <c r="X9" s="3"/>
      <c r="Y9" s="3"/>
    </row>
    <row r="10" spans="1:25" ht="12">
      <c r="A10" t="s">
        <v>96</v>
      </c>
      <c r="D10" s="3">
        <f>SUM(D8:D9)</f>
        <v>122814999.61847274</v>
      </c>
      <c r="F10" t="s">
        <v>101</v>
      </c>
      <c r="I10" s="4">
        <f>SUM(I9:L9)</f>
        <v>336217500</v>
      </c>
      <c r="Q10" s="3"/>
      <c r="Y10" s="4"/>
    </row>
    <row r="11" spans="6:25" ht="12">
      <c r="F11" t="s">
        <v>58</v>
      </c>
      <c r="I11" s="4">
        <f>SUM(First:Last!I17)</f>
        <v>0</v>
      </c>
      <c r="J11" s="4">
        <f>SUM(First:Last!J17)</f>
        <v>0</v>
      </c>
      <c r="K11" s="4">
        <f>SUM(First:Last!K17)</f>
        <v>0</v>
      </c>
      <c r="L11" s="4">
        <f>SUM(First:Last!L17)</f>
        <v>0</v>
      </c>
      <c r="Q11" s="16"/>
      <c r="R11" s="16"/>
      <c r="S11" s="16"/>
      <c r="X11" s="4"/>
      <c r="Y11" s="4"/>
    </row>
    <row r="12" spans="1:25" ht="12">
      <c r="A12" t="s">
        <v>99</v>
      </c>
      <c r="D12" s="3">
        <f>Alexandria!D21+'Potomac Greens'!D18+Arlington!D20</f>
        <v>-69245000</v>
      </c>
      <c r="I12" s="4"/>
      <c r="J12" s="4"/>
      <c r="K12" s="4"/>
      <c r="L12" s="4"/>
      <c r="N12" s="4"/>
      <c r="Q12" s="4"/>
      <c r="R12" s="4"/>
      <c r="S12" s="4"/>
      <c r="V12" s="7"/>
      <c r="W12" s="7"/>
      <c r="X12" s="16"/>
      <c r="Y12" s="16"/>
    </row>
    <row r="13" spans="1:25" ht="12">
      <c r="A13" t="s">
        <v>90</v>
      </c>
      <c r="D13" s="4">
        <f>Alexandria!D13+'Potomac Greens'!D10+Arlington!D12</f>
        <v>10479700</v>
      </c>
      <c r="I13" s="7"/>
      <c r="J13" s="7"/>
      <c r="K13" s="7"/>
      <c r="L13" s="7"/>
      <c r="O13" s="3"/>
      <c r="V13" s="4"/>
      <c r="W13" s="4"/>
      <c r="X13" s="4"/>
      <c r="Y13" s="4"/>
    </row>
    <row r="14" spans="4:17" ht="12" hidden="1">
      <c r="D14" s="16"/>
      <c r="E14" s="16"/>
      <c r="I14" s="4"/>
      <c r="J14" s="4"/>
      <c r="K14" s="4"/>
      <c r="L14" s="4"/>
      <c r="Q14" s="16"/>
    </row>
    <row r="15" spans="9:18" ht="12" hidden="1">
      <c r="I15" s="3"/>
      <c r="J15" s="3"/>
      <c r="K15" s="3"/>
      <c r="L15" s="3"/>
      <c r="N15" s="3"/>
      <c r="O15" s="3"/>
      <c r="P15" s="3"/>
      <c r="Q15" s="3"/>
      <c r="R15" s="3"/>
    </row>
    <row r="16" spans="14:17" ht="12" hidden="1">
      <c r="N16" s="3"/>
      <c r="O16" s="3"/>
      <c r="P16" s="3"/>
      <c r="Q16" s="3"/>
    </row>
    <row r="17" ht="12" hidden="1">
      <c r="D17" s="6"/>
    </row>
    <row r="18" spans="4:12" ht="12" hidden="1">
      <c r="D18" s="6"/>
      <c r="I18" s="3"/>
      <c r="J18" s="3"/>
      <c r="K18" s="3"/>
      <c r="L18" s="3"/>
    </row>
    <row r="19" ht="12" hidden="1">
      <c r="D19" s="6"/>
    </row>
    <row r="20" ht="12" hidden="1">
      <c r="D20" s="6"/>
    </row>
    <row r="21" spans="1:20" ht="12" hidden="1">
      <c r="A21" s="18"/>
      <c r="B21" s="18"/>
      <c r="C21" s="18"/>
      <c r="D21" s="18"/>
      <c r="E21" s="1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12" hidden="1">
      <c r="A22" s="18"/>
      <c r="B22" s="18"/>
      <c r="C22" s="18"/>
      <c r="D22" s="18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6:20" ht="12" hidden="1"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6:20" ht="12"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6:20" ht="12"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2" ht="12">
      <c r="A26" s="8" t="s">
        <v>14</v>
      </c>
      <c r="B26" s="8"/>
      <c r="C26" s="8"/>
      <c r="D26" s="8"/>
      <c r="E26" s="8">
        <v>2001</v>
      </c>
      <c r="F26" s="9">
        <v>2002</v>
      </c>
      <c r="G26" s="8">
        <v>2003</v>
      </c>
      <c r="H26" s="9">
        <v>2004</v>
      </c>
      <c r="I26" s="8">
        <v>2005</v>
      </c>
      <c r="J26" s="9">
        <v>2006</v>
      </c>
      <c r="K26" s="8">
        <v>2007</v>
      </c>
      <c r="L26" s="9">
        <v>2008</v>
      </c>
      <c r="M26" s="8">
        <v>2009</v>
      </c>
      <c r="N26" s="9">
        <v>2010</v>
      </c>
      <c r="O26" s="8">
        <v>2011</v>
      </c>
      <c r="P26" s="9">
        <v>2012</v>
      </c>
      <c r="Q26" s="8">
        <v>2013</v>
      </c>
      <c r="R26" s="9">
        <v>2014</v>
      </c>
      <c r="S26" s="8">
        <v>2015</v>
      </c>
      <c r="T26" s="9">
        <v>2016</v>
      </c>
      <c r="U26" s="8">
        <v>2017</v>
      </c>
      <c r="V26" s="9">
        <v>2018</v>
      </c>
    </row>
    <row r="27" spans="1:22" ht="12">
      <c r="A27" t="s">
        <v>15</v>
      </c>
      <c r="E27">
        <v>0</v>
      </c>
      <c r="F27" s="7">
        <v>1</v>
      </c>
      <c r="G27" s="7">
        <v>2</v>
      </c>
      <c r="H27" s="7">
        <v>3</v>
      </c>
      <c r="I27" s="7">
        <v>4</v>
      </c>
      <c r="J27" s="7">
        <v>5</v>
      </c>
      <c r="K27" s="7">
        <v>6</v>
      </c>
      <c r="L27" s="7">
        <v>7</v>
      </c>
      <c r="M27" s="7">
        <v>8</v>
      </c>
      <c r="N27" s="7">
        <v>9</v>
      </c>
      <c r="O27" s="7">
        <v>10</v>
      </c>
      <c r="P27" s="7">
        <v>11</v>
      </c>
      <c r="Q27" s="7">
        <v>12</v>
      </c>
      <c r="R27" s="7">
        <v>13</v>
      </c>
      <c r="S27" s="7">
        <v>14</v>
      </c>
      <c r="T27" s="7">
        <v>15</v>
      </c>
      <c r="U27">
        <v>16</v>
      </c>
      <c r="V27">
        <v>17</v>
      </c>
    </row>
    <row r="29" ht="12">
      <c r="A29" s="5" t="s">
        <v>16</v>
      </c>
    </row>
    <row r="30" spans="1:22" ht="12">
      <c r="A30" s="12" t="s">
        <v>1</v>
      </c>
      <c r="E30" s="4">
        <f>SUM(First:Last!E30)</f>
        <v>0</v>
      </c>
      <c r="F30" s="4">
        <f>SUM(First:Last!F30)</f>
        <v>1667000</v>
      </c>
      <c r="G30" s="4">
        <f>SUM(First:Last!G30)</f>
        <v>1676000</v>
      </c>
      <c r="H30" s="4">
        <f>SUM(First:Last!H30)</f>
        <v>1685000</v>
      </c>
      <c r="I30" s="4">
        <f>SUM(First:Last!I30)</f>
        <v>1695000</v>
      </c>
      <c r="J30" s="4">
        <f>SUM(First:Last!J30)</f>
        <v>1204500</v>
      </c>
      <c r="K30" s="4">
        <f>SUM(First:Last!K30)</f>
        <v>1214000</v>
      </c>
      <c r="L30" s="4">
        <f>SUM(First:Last!L30)</f>
        <v>1224000</v>
      </c>
      <c r="M30" s="4">
        <f>SUM(First:Last!M30)</f>
        <v>1234000</v>
      </c>
      <c r="N30" s="4">
        <f>SUM(First:Last!N30)</f>
        <v>1244000</v>
      </c>
      <c r="O30" s="4">
        <f>SUM(First:Last!O30)</f>
        <v>1254000</v>
      </c>
      <c r="P30" s="4">
        <f>SUM(First:Last!P30)</f>
        <v>1264000</v>
      </c>
      <c r="Q30" s="4">
        <f>SUM(First:Last!Q30)</f>
        <v>0</v>
      </c>
      <c r="R30" s="4">
        <f>SUM(First:Last!R30)</f>
        <v>0</v>
      </c>
      <c r="S30" s="4">
        <f>SUM(First:Last!S30)</f>
        <v>0</v>
      </c>
      <c r="T30" s="4">
        <f>SUM(First:Last!T30)</f>
        <v>0</v>
      </c>
      <c r="U30" s="4">
        <f>SUM(First:Last!U30)</f>
        <v>0</v>
      </c>
      <c r="V30" s="4">
        <f>SUM(First:Last!V30)</f>
        <v>0</v>
      </c>
    </row>
    <row r="31" spans="1:22" ht="12">
      <c r="A31" s="12" t="s">
        <v>77</v>
      </c>
      <c r="E31" s="4">
        <f>SUM(First:Last!E31)</f>
        <v>0</v>
      </c>
      <c r="F31" s="4">
        <f>SUM(First:Last!F31)</f>
        <v>477000</v>
      </c>
      <c r="G31" s="4">
        <f>SUM(First:Last!G31)</f>
        <v>542000</v>
      </c>
      <c r="H31" s="4">
        <f>SUM(First:Last!H31)</f>
        <v>560000</v>
      </c>
      <c r="I31" s="4">
        <f>SUM(First:Last!I31)</f>
        <v>6282150</v>
      </c>
      <c r="J31" s="4">
        <f>SUM(First:Last!J31)</f>
        <v>0</v>
      </c>
      <c r="K31" s="4">
        <f>SUM(First:Last!K31)</f>
        <v>0</v>
      </c>
      <c r="L31" s="4">
        <f>SUM(First:Last!L31)</f>
        <v>0</v>
      </c>
      <c r="M31" s="4">
        <f>SUM(First:Last!M31)</f>
        <v>0</v>
      </c>
      <c r="N31" s="4">
        <f>SUM(First:Last!N31)</f>
        <v>0</v>
      </c>
      <c r="O31" s="4">
        <f>SUM(First:Last!O31)</f>
        <v>0</v>
      </c>
      <c r="P31" s="4">
        <f>SUM(First:Last!P31)</f>
        <v>0</v>
      </c>
      <c r="Q31" s="4">
        <f>SUM(First:Last!Q31)</f>
        <v>0</v>
      </c>
      <c r="R31" s="4">
        <f>SUM(First:Last!R31)</f>
        <v>0</v>
      </c>
      <c r="S31" s="4">
        <f>SUM(First:Last!S31)</f>
        <v>0</v>
      </c>
      <c r="T31" s="4">
        <f>SUM(First:Last!T31)</f>
        <v>0</v>
      </c>
      <c r="U31" s="4">
        <f>SUM(First:Last!U31)</f>
        <v>0</v>
      </c>
      <c r="V31" s="4">
        <f>SUM(First:Last!V31)</f>
        <v>0</v>
      </c>
    </row>
    <row r="32" spans="1:22" ht="12">
      <c r="A32" t="s">
        <v>17</v>
      </c>
      <c r="E32" s="4">
        <f>SUM(First:Last!E32)</f>
        <v>0</v>
      </c>
      <c r="F32" s="4">
        <f>SUM(First:Last!F32)</f>
        <v>9423212.5</v>
      </c>
      <c r="G32" s="4">
        <f>SUM(First:Last!G32)</f>
        <v>9705908.875</v>
      </c>
      <c r="H32" s="4">
        <f>SUM(First:Last!H32)</f>
        <v>9997086.14125</v>
      </c>
      <c r="I32" s="4">
        <f>SUM(First:Last!I32)</f>
        <v>10296998.725487499</v>
      </c>
      <c r="J32" s="4">
        <f>SUM(First:Last!J32)</f>
        <v>10605908.687252123</v>
      </c>
      <c r="K32" s="4">
        <f>SUM(First:Last!K32)</f>
        <v>10924085.947869688</v>
      </c>
      <c r="L32" s="4">
        <f>SUM(First:Last!L32)</f>
        <v>22101052.982018024</v>
      </c>
      <c r="M32" s="4">
        <f>SUM(First:Last!M32)</f>
        <v>22764084.57147856</v>
      </c>
      <c r="N32" s="4">
        <f>SUM(First:Last!N32)</f>
        <v>23447007.10862292</v>
      </c>
      <c r="O32" s="4">
        <f>SUM(First:Last!O32)</f>
        <v>24150417.321881607</v>
      </c>
      <c r="P32" s="4">
        <f>SUM(First:Last!P32)</f>
        <v>12210920.216747787</v>
      </c>
      <c r="Q32" s="4">
        <f>SUM(First:Last!Q32)</f>
        <v>12577247.823250217</v>
      </c>
      <c r="R32" s="4">
        <f>SUM(First:Last!R32)</f>
        <v>12954565.257947724</v>
      </c>
      <c r="S32" s="4">
        <f>SUM(First:Last!S32)</f>
        <v>0</v>
      </c>
      <c r="T32" s="4">
        <f>SUM(First:Last!T32)</f>
        <v>0</v>
      </c>
      <c r="U32" s="4">
        <f>SUM(First:Last!U32)</f>
        <v>0</v>
      </c>
      <c r="V32" s="4">
        <f>SUM(First:Last!V32)</f>
        <v>0</v>
      </c>
    </row>
    <row r="33" spans="1:22" ht="12">
      <c r="A33" t="s">
        <v>18</v>
      </c>
      <c r="E33" s="4">
        <f>SUM(First:Last!E33)</f>
        <v>0</v>
      </c>
      <c r="F33" s="4">
        <f>SUM(First:Last!F33)</f>
        <v>309000</v>
      </c>
      <c r="G33" s="4">
        <f>SUM(First:Last!G33)</f>
        <v>318270</v>
      </c>
      <c r="H33" s="4">
        <f>SUM(First:Last!H33)</f>
        <v>327818.1</v>
      </c>
      <c r="I33" s="4">
        <f>SUM(First:Last!I33)</f>
        <v>337652.643</v>
      </c>
      <c r="J33" s="4">
        <f>SUM(First:Last!J33)</f>
        <v>347782.22228999995</v>
      </c>
      <c r="K33" s="4">
        <f>SUM(First:Last!K33)</f>
        <v>358215.6889587</v>
      </c>
      <c r="L33" s="4">
        <f>SUM(First:Last!L33)</f>
        <v>1080532.038908993</v>
      </c>
      <c r="M33" s="4">
        <f>SUM(First:Last!M33)</f>
        <v>1112948.0000762625</v>
      </c>
      <c r="N33" s="4">
        <f>SUM(First:Last!N33)</f>
        <v>1146336.4400785505</v>
      </c>
      <c r="O33" s="4">
        <f>SUM(First:Last!O33)</f>
        <v>1180726.533280907</v>
      </c>
      <c r="P33" s="4">
        <f>SUM(First:Last!P33)</f>
        <v>800878.1680620005</v>
      </c>
      <c r="Q33" s="4">
        <f>SUM(First:Last!Q33)</f>
        <v>824904.5131038604</v>
      </c>
      <c r="R33" s="4">
        <f>SUM(First:Last!R33)</f>
        <v>849651.6484969762</v>
      </c>
      <c r="S33" s="4">
        <f>SUM(First:Last!S33)</f>
        <v>0</v>
      </c>
      <c r="T33" s="4">
        <f>SUM(First:Last!T33)</f>
        <v>0</v>
      </c>
      <c r="U33" s="4">
        <f>SUM(First:Last!U33)</f>
        <v>0</v>
      </c>
      <c r="V33" s="4">
        <f>SUM(First:Last!V33)</f>
        <v>0</v>
      </c>
    </row>
    <row r="34" spans="1:22" ht="12">
      <c r="A34" t="s">
        <v>19</v>
      </c>
      <c r="E34" s="4">
        <f>SUM(First:Last!E34)</f>
        <v>0</v>
      </c>
      <c r="F34" s="4">
        <f>SUM(First:Last!F34)</f>
        <v>18663600</v>
      </c>
      <c r="G34" s="4">
        <f>SUM(First:Last!G34)</f>
        <v>0</v>
      </c>
      <c r="H34" s="4">
        <f>SUM(First:Last!H34)</f>
        <v>6993452.8</v>
      </c>
      <c r="I34" s="4">
        <f>SUM(First:Last!I34)</f>
        <v>7203256.384</v>
      </c>
      <c r="J34" s="4">
        <f>SUM(First:Last!J34)</f>
        <v>7419354.075519999</v>
      </c>
      <c r="K34" s="4">
        <f>SUM(First:Last!K34)</f>
        <v>7641934.697785599</v>
      </c>
      <c r="L34" s="4">
        <f>SUM(First:Last!L34)</f>
        <v>24485031.69794427</v>
      </c>
      <c r="M34" s="4">
        <f>SUM(First:Last!M34)</f>
        <v>17112254.128001854</v>
      </c>
      <c r="N34" s="4">
        <f>SUM(First:Last!N34)</f>
        <v>17625621.75184191</v>
      </c>
      <c r="O34" s="4">
        <f>SUM(First:Last!O34)</f>
        <v>18154390.404397167</v>
      </c>
      <c r="P34" s="4">
        <f>SUM(First:Last!P34)</f>
        <v>18699022.11652908</v>
      </c>
      <c r="Q34" s="4">
        <f>SUM(First:Last!Q34)</f>
        <v>19259992.78002495</v>
      </c>
      <c r="R34" s="4">
        <f>SUM(First:Last!R34)</f>
        <v>19837792.563425697</v>
      </c>
      <c r="S34" s="4">
        <f>SUM(First:Last!S34)</f>
        <v>0</v>
      </c>
      <c r="T34" s="4">
        <f>SUM(First:Last!T34)</f>
        <v>0</v>
      </c>
      <c r="U34" s="4">
        <f>SUM(First:Last!U34)</f>
        <v>0</v>
      </c>
      <c r="V34" s="4">
        <f>SUM(First:Last!V34)</f>
        <v>0</v>
      </c>
    </row>
    <row r="35" spans="1:22" ht="12">
      <c r="A35" t="s">
        <v>20</v>
      </c>
      <c r="E35" s="11">
        <f>SUM(First:Last!E35)</f>
        <v>0</v>
      </c>
      <c r="F35" s="11">
        <f>SUM(First:Last!F35)</f>
        <v>16093750</v>
      </c>
      <c r="G35" s="11">
        <f>SUM(First:Last!G35)</f>
        <v>0</v>
      </c>
      <c r="H35" s="11">
        <f>SUM(First:Last!H35)</f>
        <v>0</v>
      </c>
      <c r="I35" s="11">
        <f>SUM(First:Last!I35)</f>
        <v>0</v>
      </c>
      <c r="J35" s="11">
        <f>SUM(First:Last!J35)</f>
        <v>0</v>
      </c>
      <c r="K35" s="11">
        <f>SUM(First:Last!K35)</f>
        <v>0</v>
      </c>
      <c r="L35" s="11">
        <f>SUM(First:Last!L35)</f>
        <v>19216779.147263594</v>
      </c>
      <c r="M35" s="11">
        <f>SUM(First:Last!M35)</f>
        <v>0</v>
      </c>
      <c r="N35" s="11">
        <f>SUM(First:Last!N35)</f>
        <v>0</v>
      </c>
      <c r="O35" s="11">
        <f>SUM(First:Last!O35)</f>
        <v>0</v>
      </c>
      <c r="P35" s="11">
        <f>SUM(First:Last!P35)</f>
        <v>0</v>
      </c>
      <c r="Q35" s="11">
        <f>SUM(First:Last!Q35)</f>
        <v>0</v>
      </c>
      <c r="R35" s="11">
        <f>SUM(First:Last!R35)</f>
        <v>0</v>
      </c>
      <c r="S35" s="11">
        <f>SUM(First:Last!S35)</f>
        <v>0</v>
      </c>
      <c r="T35" s="11">
        <f>SUM(First:Last!T35)</f>
        <v>0</v>
      </c>
      <c r="U35" s="11">
        <f>SUM(First:Last!U35)</f>
        <v>0</v>
      </c>
      <c r="V35" s="11">
        <f>SUM(First:Last!V35)</f>
        <v>0</v>
      </c>
    </row>
    <row r="36" spans="1:22" ht="12">
      <c r="A36" t="s">
        <v>21</v>
      </c>
      <c r="E36" s="4">
        <f aca="true" t="shared" si="0" ref="E36:V36">SUM(E30:E35)</f>
        <v>0</v>
      </c>
      <c r="F36" s="4">
        <f t="shared" si="0"/>
        <v>46633562.5</v>
      </c>
      <c r="G36" s="4">
        <f t="shared" si="0"/>
        <v>12242178.875</v>
      </c>
      <c r="H36" s="4">
        <f t="shared" si="0"/>
        <v>19563357.041249998</v>
      </c>
      <c r="I36" s="4">
        <f t="shared" si="0"/>
        <v>25815057.7524875</v>
      </c>
      <c r="J36" s="4">
        <f t="shared" si="0"/>
        <v>19577544.985062122</v>
      </c>
      <c r="K36" s="4">
        <f t="shared" si="0"/>
        <v>20138236.334613986</v>
      </c>
      <c r="L36" s="4">
        <f t="shared" si="0"/>
        <v>68107395.86613488</v>
      </c>
      <c r="M36" s="4">
        <f t="shared" si="0"/>
        <v>42223286.69955668</v>
      </c>
      <c r="N36" s="4">
        <f t="shared" si="0"/>
        <v>43462965.30054338</v>
      </c>
      <c r="O36" s="4">
        <f t="shared" si="0"/>
        <v>44739534.259559676</v>
      </c>
      <c r="P36" s="4">
        <f t="shared" si="0"/>
        <v>32974820.50133887</v>
      </c>
      <c r="Q36" s="4">
        <f t="shared" si="0"/>
        <v>32662145.116379026</v>
      </c>
      <c r="R36" s="4">
        <f t="shared" si="0"/>
        <v>33642009.469870396</v>
      </c>
      <c r="S36" s="4">
        <f t="shared" si="0"/>
        <v>0</v>
      </c>
      <c r="T36" s="4">
        <f t="shared" si="0"/>
        <v>0</v>
      </c>
      <c r="U36" s="4">
        <f t="shared" si="0"/>
        <v>0</v>
      </c>
      <c r="V36" s="4">
        <f t="shared" si="0"/>
        <v>0</v>
      </c>
    </row>
    <row r="37" spans="1:22" ht="12">
      <c r="A37" t="s">
        <v>10</v>
      </c>
      <c r="E37" s="11">
        <f>SUM(First:Last!E37)</f>
        <v>0</v>
      </c>
      <c r="F37" s="11">
        <f>SUM(First:Last!F37)</f>
        <v>-2224478.125</v>
      </c>
      <c r="G37" s="11">
        <f>SUM(First:Last!G37)</f>
        <v>-501208.94375000003</v>
      </c>
      <c r="H37" s="11">
        <f>SUM(First:Last!H37)</f>
        <v>-865917.8520625</v>
      </c>
      <c r="I37" s="11">
        <f>SUM(First:Last!I37)</f>
        <v>-891895.3876243748</v>
      </c>
      <c r="J37" s="11">
        <f>SUM(First:Last!J37)</f>
        <v>-918652.2492531062</v>
      </c>
      <c r="K37" s="11">
        <f>SUM(First:Last!K37)</f>
        <v>-946211.8167306994</v>
      </c>
      <c r="L37" s="11">
        <f>SUM(First:Last!L37)</f>
        <v>-3344169.7933067437</v>
      </c>
      <c r="M37" s="11">
        <f>SUM(First:Last!M37)</f>
        <v>-2049464.334977834</v>
      </c>
      <c r="N37" s="11">
        <f>SUM(First:Last!N37)</f>
        <v>-2110948.265027169</v>
      </c>
      <c r="O37" s="11">
        <f>SUM(First:Last!O37)</f>
        <v>-2174276.712977984</v>
      </c>
      <c r="P37" s="11">
        <f>SUM(First:Last!P37)</f>
        <v>-1585541.0250669436</v>
      </c>
      <c r="Q37" s="11">
        <f>SUM(First:Last!Q37)</f>
        <v>-1633107.2558189514</v>
      </c>
      <c r="R37" s="11">
        <f>SUM(First:Last!R37)</f>
        <v>-1682100.47349352</v>
      </c>
      <c r="S37" s="11">
        <f>SUM(First:Last!S37)</f>
        <v>0</v>
      </c>
      <c r="T37" s="11">
        <f>SUM(First:Last!T37)</f>
        <v>0</v>
      </c>
      <c r="U37" s="11">
        <f>SUM(First:Last!U37)</f>
        <v>0</v>
      </c>
      <c r="V37" s="11">
        <f>SUM(First:Last!V37)</f>
        <v>0</v>
      </c>
    </row>
    <row r="38" spans="1:22" ht="12">
      <c r="A38" t="s">
        <v>27</v>
      </c>
      <c r="E38" s="4">
        <f>SUM(E36:E37)</f>
        <v>0</v>
      </c>
      <c r="F38" s="4">
        <f aca="true" t="shared" si="1" ref="F38:V38">SUM(F36:F37)</f>
        <v>44409084.375</v>
      </c>
      <c r="G38" s="4">
        <f t="shared" si="1"/>
        <v>11740969.93125</v>
      </c>
      <c r="H38" s="4">
        <f t="shared" si="1"/>
        <v>18697439.189187497</v>
      </c>
      <c r="I38" s="4">
        <f t="shared" si="1"/>
        <v>24923162.364863124</v>
      </c>
      <c r="J38" s="4">
        <f t="shared" si="1"/>
        <v>18658892.735809017</v>
      </c>
      <c r="K38" s="4">
        <f t="shared" si="1"/>
        <v>19192024.517883286</v>
      </c>
      <c r="L38" s="4">
        <f t="shared" si="1"/>
        <v>64763226.07282814</v>
      </c>
      <c r="M38" s="4">
        <f t="shared" si="1"/>
        <v>40173822.36457884</v>
      </c>
      <c r="N38" s="4">
        <f t="shared" si="1"/>
        <v>41352017.03551622</v>
      </c>
      <c r="O38" s="4">
        <f t="shared" si="1"/>
        <v>42565257.54658169</v>
      </c>
      <c r="P38" s="4">
        <f t="shared" si="1"/>
        <v>31389279.476271927</v>
      </c>
      <c r="Q38" s="4">
        <f t="shared" si="1"/>
        <v>31029037.860560074</v>
      </c>
      <c r="R38" s="4">
        <f t="shared" si="1"/>
        <v>31959908.996376876</v>
      </c>
      <c r="S38" s="4">
        <f t="shared" si="1"/>
        <v>0</v>
      </c>
      <c r="T38" s="4">
        <f t="shared" si="1"/>
        <v>0</v>
      </c>
      <c r="U38" s="4">
        <f t="shared" si="1"/>
        <v>0</v>
      </c>
      <c r="V38" s="4">
        <f t="shared" si="1"/>
        <v>0</v>
      </c>
    </row>
    <row r="40" ht="12">
      <c r="A40" s="5" t="s">
        <v>23</v>
      </c>
    </row>
    <row r="41" spans="1:22" ht="12">
      <c r="A41" t="s">
        <v>24</v>
      </c>
      <c r="E41" s="4">
        <f>SUM(First:Last!E41)</f>
        <v>0</v>
      </c>
      <c r="F41" s="4">
        <f>SUM(First:Last!F41)</f>
        <v>-1387352.32</v>
      </c>
      <c r="G41" s="4">
        <f>SUM(First:Last!G41)</f>
        <v>-1162736.9971523657</v>
      </c>
      <c r="H41" s="4">
        <f>SUM(First:Last!H41)</f>
        <v>-1156931.4419487878</v>
      </c>
      <c r="I41" s="4">
        <f>SUM(First:Last!I41)</f>
        <v>-1122127.6848053169</v>
      </c>
      <c r="J41" s="4">
        <f>SUM(First:Last!J41)</f>
        <v>-1084194.4639354844</v>
      </c>
      <c r="K41" s="4">
        <f>SUM(First:Last!K41)</f>
        <v>-1042975.334897137</v>
      </c>
      <c r="L41" s="4">
        <f>SUM(First:Last!L41)</f>
        <v>-998307.2830989469</v>
      </c>
      <c r="M41" s="4">
        <f>SUM(First:Last!M41)</f>
        <v>-772828.1309793344</v>
      </c>
      <c r="N41" s="4">
        <f>SUM(First:Last!N41)</f>
        <v>-639052.5457698978</v>
      </c>
      <c r="O41" s="4">
        <f>SUM(First:Last!O41)</f>
        <v>-496554.88013001333</v>
      </c>
      <c r="P41" s="4">
        <f>SUM(First:Last!P41)</f>
        <v>-344932.207260543</v>
      </c>
      <c r="Q41" s="4">
        <f>SUM(First:Last!Q41)</f>
        <v>-236853.44898557288</v>
      </c>
      <c r="R41" s="4">
        <f>SUM(First:Last!R41)</f>
        <v>-121979.52622757002</v>
      </c>
      <c r="S41" s="4">
        <f>SUM(First:Last!S41)</f>
        <v>0</v>
      </c>
      <c r="T41" s="4">
        <f>SUM(First:Last!T41)</f>
        <v>0</v>
      </c>
      <c r="U41" s="4">
        <f>SUM(First:Last!U41)</f>
        <v>0</v>
      </c>
      <c r="V41" s="4">
        <f>SUM(First:Last!V41)</f>
        <v>0</v>
      </c>
    </row>
    <row r="42" spans="1:22" ht="12">
      <c r="A42" t="s">
        <v>9</v>
      </c>
      <c r="E42" s="4">
        <f>SUM(First:Last!E42)</f>
        <v>0</v>
      </c>
      <c r="F42" s="4">
        <f>SUM(First:Last!F42)</f>
        <v>-15000</v>
      </c>
      <c r="G42" s="4">
        <f>SUM(First:Last!G42)</f>
        <v>-10000</v>
      </c>
      <c r="H42" s="4">
        <f>SUM(First:Last!H42)</f>
        <v>-10000</v>
      </c>
      <c r="I42" s="4">
        <f>SUM(First:Last!I42)</f>
        <v>-10000</v>
      </c>
      <c r="J42" s="4">
        <f>SUM(First:Last!J42)</f>
        <v>-10000</v>
      </c>
      <c r="K42" s="4">
        <f>SUM(First:Last!K42)</f>
        <v>-10000</v>
      </c>
      <c r="L42" s="4">
        <f>SUM(First:Last!L42)</f>
        <v>-10000</v>
      </c>
      <c r="M42" s="4">
        <f>SUM(First:Last!M42)</f>
        <v>-10000</v>
      </c>
      <c r="N42" s="4">
        <f>SUM(First:Last!N42)</f>
        <v>-10000</v>
      </c>
      <c r="O42" s="4">
        <f>SUM(First:Last!O42)</f>
        <v>-10000</v>
      </c>
      <c r="P42" s="4">
        <f>SUM(First:Last!P42)</f>
        <v>-5000</v>
      </c>
      <c r="Q42" s="4">
        <f>SUM(First:Last!Q42)</f>
        <v>-5000</v>
      </c>
      <c r="R42" s="4">
        <f>SUM(First:Last!R42)</f>
        <v>-5000</v>
      </c>
      <c r="S42" s="4">
        <f>SUM(First:Last!S42)</f>
        <v>0</v>
      </c>
      <c r="T42" s="4">
        <f>SUM(First:Last!T42)</f>
        <v>0</v>
      </c>
      <c r="U42" s="4">
        <f>SUM(First:Last!U42)</f>
        <v>0</v>
      </c>
      <c r="V42" s="4">
        <f>SUM(First:Last!V42)</f>
        <v>0</v>
      </c>
    </row>
    <row r="43" spans="1:22" ht="12">
      <c r="A43" t="s">
        <v>25</v>
      </c>
      <c r="E43" s="11">
        <f>SUM(First:Last!E43)</f>
        <v>0</v>
      </c>
      <c r="F43" s="11">
        <f>SUM(First:Last!F43)</f>
        <v>0</v>
      </c>
      <c r="G43" s="11">
        <f>SUM(First:Last!G43)</f>
        <v>0</v>
      </c>
      <c r="H43" s="11">
        <f>SUM(First:Last!H43)</f>
        <v>0</v>
      </c>
      <c r="I43" s="11">
        <f>SUM(First:Last!I43)</f>
        <v>0</v>
      </c>
      <c r="J43" s="11">
        <f>SUM(First:Last!J43)</f>
        <v>0</v>
      </c>
      <c r="K43" s="11">
        <f>SUM(First:Last!K43)</f>
        <v>0</v>
      </c>
      <c r="L43" s="11">
        <f>SUM(First:Last!L43)</f>
        <v>0</v>
      </c>
      <c r="M43" s="11">
        <f>SUM(First:Last!M43)</f>
        <v>0</v>
      </c>
      <c r="N43" s="11">
        <f>SUM(First:Last!N43)</f>
        <v>0</v>
      </c>
      <c r="O43" s="11">
        <f>SUM(First:Last!O43)</f>
        <v>0</v>
      </c>
      <c r="P43" s="11">
        <f>SUM(First:Last!P43)</f>
        <v>0</v>
      </c>
      <c r="Q43" s="11">
        <f>SUM(First:Last!Q43)</f>
        <v>0</v>
      </c>
      <c r="R43" s="11">
        <f>SUM(First:Last!R43)</f>
        <v>0</v>
      </c>
      <c r="S43" s="11">
        <f>SUM(First:Last!S43)</f>
        <v>0</v>
      </c>
      <c r="T43" s="11">
        <f>SUM(First:Last!T43)</f>
        <v>0</v>
      </c>
      <c r="U43" s="11">
        <f>SUM(First:Last!U43)</f>
        <v>0</v>
      </c>
      <c r="V43" s="11">
        <f>SUM(First:Last!V43)</f>
        <v>0</v>
      </c>
    </row>
    <row r="44" spans="1:22" ht="12">
      <c r="A44" t="s">
        <v>26</v>
      </c>
      <c r="E44" s="4">
        <f>SUM(E41:E43)</f>
        <v>0</v>
      </c>
      <c r="F44" s="4">
        <f aca="true" t="shared" si="2" ref="F44:V44">SUM(F41:F43)</f>
        <v>-1402352.32</v>
      </c>
      <c r="G44" s="4">
        <f t="shared" si="2"/>
        <v>-1172736.9971523657</v>
      </c>
      <c r="H44" s="4">
        <f t="shared" si="2"/>
        <v>-1166931.4419487878</v>
      </c>
      <c r="I44" s="4">
        <f t="shared" si="2"/>
        <v>-1132127.6848053169</v>
      </c>
      <c r="J44" s="4">
        <f t="shared" si="2"/>
        <v>-1094194.4639354844</v>
      </c>
      <c r="K44" s="4">
        <f t="shared" si="2"/>
        <v>-1052975.334897137</v>
      </c>
      <c r="L44" s="4">
        <f t="shared" si="2"/>
        <v>-1008307.2830989469</v>
      </c>
      <c r="M44" s="4">
        <f t="shared" si="2"/>
        <v>-782828.1309793344</v>
      </c>
      <c r="N44" s="4">
        <f t="shared" si="2"/>
        <v>-649052.5457698978</v>
      </c>
      <c r="O44" s="4">
        <f t="shared" si="2"/>
        <v>-506554.88013001333</v>
      </c>
      <c r="P44" s="4">
        <f t="shared" si="2"/>
        <v>-349932.207260543</v>
      </c>
      <c r="Q44" s="4">
        <f t="shared" si="2"/>
        <v>-241853.44898557288</v>
      </c>
      <c r="R44" s="4">
        <f t="shared" si="2"/>
        <v>-126979.52622757002</v>
      </c>
      <c r="S44" s="4">
        <f t="shared" si="2"/>
        <v>0</v>
      </c>
      <c r="T44" s="4">
        <f t="shared" si="2"/>
        <v>0</v>
      </c>
      <c r="U44" s="4">
        <f t="shared" si="2"/>
        <v>0</v>
      </c>
      <c r="V44" s="4">
        <f t="shared" si="2"/>
        <v>0</v>
      </c>
    </row>
    <row r="46" ht="12">
      <c r="A46" s="5" t="s">
        <v>28</v>
      </c>
    </row>
    <row r="47" spans="1:22" ht="12">
      <c r="A47" t="s">
        <v>7</v>
      </c>
      <c r="E47" s="4">
        <f>SUM(First:Last!E47)</f>
        <v>-108624511</v>
      </c>
      <c r="F47" s="4">
        <f>SUM(First:Last!F47)</f>
        <v>0</v>
      </c>
      <c r="G47" s="4">
        <f>SUM(First:Last!G47)</f>
        <v>0</v>
      </c>
      <c r="H47" s="4">
        <f>SUM(First:Last!H47)</f>
        <v>0</v>
      </c>
      <c r="I47" s="4">
        <f>SUM(First:Last!I47)</f>
        <v>0</v>
      </c>
      <c r="J47" s="4">
        <f>SUM(First:Last!J47)</f>
        <v>0</v>
      </c>
      <c r="K47" s="4">
        <f>SUM(First:Last!K47)</f>
        <v>0</v>
      </c>
      <c r="L47" s="4">
        <f>SUM(First:Last!L47)</f>
        <v>0</v>
      </c>
      <c r="M47" s="4">
        <f>SUM(First:Last!M47)</f>
        <v>0</v>
      </c>
      <c r="N47" s="4">
        <f>SUM(First:Last!N47)</f>
        <v>0</v>
      </c>
      <c r="O47" s="4">
        <f>SUM(First:Last!O47)</f>
        <v>0</v>
      </c>
      <c r="P47" s="4">
        <f>SUM(First:Last!P47)</f>
        <v>0</v>
      </c>
      <c r="Q47" s="4">
        <f>SUM(First:Last!Q47)</f>
        <v>0</v>
      </c>
      <c r="R47" s="4">
        <f>SUM(First:Last!R47)</f>
        <v>0</v>
      </c>
      <c r="S47" s="4">
        <f>SUM(First:Last!S47)</f>
        <v>0</v>
      </c>
      <c r="T47" s="4">
        <f>SUM(First:Last!T47)</f>
        <v>0</v>
      </c>
      <c r="U47" s="4">
        <f>SUM(First:Last!U47)</f>
        <v>0</v>
      </c>
      <c r="V47" s="4">
        <f>SUM(First:Last!V47)</f>
        <v>0</v>
      </c>
    </row>
    <row r="48" spans="1:22" ht="12">
      <c r="A48" t="s">
        <v>2</v>
      </c>
      <c r="E48" s="4">
        <f>SUM(First:Last!E48)</f>
        <v>-7194248.647502208</v>
      </c>
      <c r="F48" s="4">
        <f>SUM(First:Last!F48)</f>
        <v>0</v>
      </c>
      <c r="G48" s="4">
        <f>SUM(First:Last!G48)</f>
        <v>0</v>
      </c>
      <c r="H48" s="4">
        <f>SUM(First:Last!H48)</f>
        <v>0</v>
      </c>
      <c r="I48" s="4">
        <f>SUM(First:Last!I48)</f>
        <v>0</v>
      </c>
      <c r="J48" s="4">
        <f>SUM(First:Last!J48)</f>
        <v>0</v>
      </c>
      <c r="K48" s="4">
        <f>SUM(First:Last!K48)</f>
        <v>0</v>
      </c>
      <c r="L48" s="4">
        <f>SUM(First:Last!L48)</f>
        <v>0</v>
      </c>
      <c r="M48" s="4">
        <f>SUM(First:Last!M48)</f>
        <v>0</v>
      </c>
      <c r="N48" s="4">
        <f>SUM(First:Last!N48)</f>
        <v>0</v>
      </c>
      <c r="O48" s="4">
        <f>SUM(First:Last!O48)</f>
        <v>0</v>
      </c>
      <c r="P48" s="4">
        <f>SUM(First:Last!P48)</f>
        <v>0</v>
      </c>
      <c r="Q48" s="4">
        <f>SUM(First:Last!Q48)</f>
        <v>0</v>
      </c>
      <c r="R48" s="4">
        <f>SUM(First:Last!R48)</f>
        <v>0</v>
      </c>
      <c r="S48" s="4">
        <f>SUM(First:Last!S48)</f>
        <v>0</v>
      </c>
      <c r="T48" s="4">
        <f>SUM(First:Last!T48)</f>
        <v>0</v>
      </c>
      <c r="U48" s="4">
        <f>SUM(First:Last!U48)</f>
        <v>0</v>
      </c>
      <c r="V48" s="4">
        <f>SUM(First:Last!V48)</f>
        <v>0</v>
      </c>
    </row>
    <row r="49" spans="1:22" ht="12">
      <c r="A49" t="s">
        <v>79</v>
      </c>
      <c r="E49" s="4">
        <f>SUM(First:Last!E49)</f>
        <v>-5181239.976608866</v>
      </c>
      <c r="F49" s="4">
        <f>SUM(First:Last!F49)</f>
        <v>0</v>
      </c>
      <c r="G49" s="4">
        <f>SUM(First:Last!G49)</f>
        <v>0</v>
      </c>
      <c r="H49" s="4">
        <f>SUM(First:Last!H49)</f>
        <v>0</v>
      </c>
      <c r="I49" s="4">
        <f>SUM(First:Last!I49)</f>
        <v>0</v>
      </c>
      <c r="J49" s="4">
        <f>SUM(First:Last!J49)</f>
        <v>0</v>
      </c>
      <c r="K49" s="4">
        <f>SUM(First:Last!K49)</f>
        <v>0</v>
      </c>
      <c r="L49" s="4">
        <f>SUM(First:Last!L49)</f>
        <v>0</v>
      </c>
      <c r="M49" s="4">
        <f>SUM(First:Last!M49)</f>
        <v>0</v>
      </c>
      <c r="N49" s="4">
        <f>SUM(First:Last!N49)</f>
        <v>0</v>
      </c>
      <c r="O49" s="4">
        <f>SUM(First:Last!O49)</f>
        <v>0</v>
      </c>
      <c r="P49" s="4">
        <f>SUM(First:Last!P49)</f>
        <v>0</v>
      </c>
      <c r="Q49" s="4">
        <f>SUM(First:Last!Q49)</f>
        <v>0</v>
      </c>
      <c r="R49" s="4">
        <f>SUM(First:Last!R49)</f>
        <v>0</v>
      </c>
      <c r="S49" s="4">
        <f>SUM(First:Last!S49)</f>
        <v>0</v>
      </c>
      <c r="T49" s="4">
        <f>SUM(First:Last!T49)</f>
        <v>0</v>
      </c>
      <c r="U49" s="4">
        <f>SUM(First:Last!U49)</f>
        <v>0</v>
      </c>
      <c r="V49" s="4">
        <f>SUM(First:Last!V49)</f>
        <v>0</v>
      </c>
    </row>
    <row r="50" spans="1:22" ht="12">
      <c r="A50" t="s">
        <v>104</v>
      </c>
      <c r="E50" s="4">
        <f>SUM(First:Last!E50)</f>
        <v>-1814999.994361666</v>
      </c>
      <c r="F50" s="4">
        <f>SUM(First:Last!F50)</f>
        <v>0</v>
      </c>
      <c r="G50" s="4">
        <f>SUM(First:Last!G50)</f>
        <v>0</v>
      </c>
      <c r="H50" s="4">
        <f>SUM(First:Last!H50)</f>
        <v>0</v>
      </c>
      <c r="I50" s="4">
        <f>SUM(First:Last!I50)</f>
        <v>0</v>
      </c>
      <c r="J50" s="4">
        <f>SUM(First:Last!J50)</f>
        <v>0</v>
      </c>
      <c r="K50" s="4">
        <f>SUM(First:Last!K50)</f>
        <v>0</v>
      </c>
      <c r="L50" s="4">
        <f>SUM(First:Last!L50)</f>
        <v>0</v>
      </c>
      <c r="M50" s="4">
        <f>SUM(First:Last!M50)</f>
        <v>0</v>
      </c>
      <c r="N50" s="4">
        <f>SUM(First:Last!N50)</f>
        <v>0</v>
      </c>
      <c r="O50" s="4">
        <f>SUM(First:Last!O50)</f>
        <v>0</v>
      </c>
      <c r="P50" s="4">
        <f>SUM(First:Last!P50)</f>
        <v>0</v>
      </c>
      <c r="Q50" s="4">
        <f>SUM(First:Last!Q50)</f>
        <v>0</v>
      </c>
      <c r="R50" s="4">
        <f>SUM(First:Last!R50)</f>
        <v>0</v>
      </c>
      <c r="S50" s="4">
        <f>SUM(First:Last!S50)</f>
        <v>0</v>
      </c>
      <c r="T50" s="4">
        <f>SUM(First:Last!T50)</f>
        <v>0</v>
      </c>
      <c r="U50" s="4">
        <f>SUM(First:Last!U50)</f>
        <v>0</v>
      </c>
      <c r="V50" s="4">
        <f>SUM(First:Last!V50)</f>
        <v>0</v>
      </c>
    </row>
    <row r="51" spans="1:22" ht="12">
      <c r="A51" s="12" t="s">
        <v>22</v>
      </c>
      <c r="E51" s="4">
        <f>SUM(First:Last!E51)</f>
        <v>0</v>
      </c>
      <c r="F51" s="4">
        <f>SUM(First:Last!F51)</f>
        <v>-7776500</v>
      </c>
      <c r="G51" s="4">
        <f>SUM(First:Last!G51)</f>
        <v>-2758340</v>
      </c>
      <c r="H51" s="4">
        <f>SUM(First:Last!H51)</f>
        <v>-2895726.55</v>
      </c>
      <c r="I51" s="4">
        <f>SUM(First:Last!I51)</f>
        <v>-5289891.407000001</v>
      </c>
      <c r="J51" s="4">
        <f>SUM(First:Last!J51)</f>
        <v>-12404232.595010001</v>
      </c>
      <c r="K51" s="4">
        <f>SUM(First:Last!K51)</f>
        <v>-22030264.870960053</v>
      </c>
      <c r="L51" s="4">
        <f>SUM(First:Last!L51)</f>
        <v>-11001221.726225464</v>
      </c>
      <c r="M51" s="4">
        <f>SUM(First:Last!M51)</f>
        <v>-10134160.651100932</v>
      </c>
      <c r="N51" s="4">
        <f>SUM(First:Last!N51)</f>
        <v>-3914319.5514877345</v>
      </c>
      <c r="O51" s="4">
        <f>SUM(First:Last!O51)</f>
        <v>-873545.6465736794</v>
      </c>
      <c r="P51" s="4">
        <f>SUM(First:Last!P51)</f>
        <v>-1384233.870724446</v>
      </c>
      <c r="Q51" s="4">
        <f>SUM(First:Last!Q51)</f>
        <v>-712880.4434230897</v>
      </c>
      <c r="R51" s="4">
        <f>SUM(First:Last!R51)</f>
        <v>-734266.8567257824</v>
      </c>
      <c r="S51" s="4">
        <f>SUM(First:Last!S51)</f>
        <v>0</v>
      </c>
      <c r="T51" s="4">
        <f>SUM(First:Last!T51)</f>
        <v>0</v>
      </c>
      <c r="U51" s="4">
        <f>SUM(First:Last!U51)</f>
        <v>0</v>
      </c>
      <c r="V51" s="4">
        <f>SUM(First:Last!V51)</f>
        <v>0</v>
      </c>
    </row>
    <row r="52" spans="1:22" ht="12">
      <c r="A52" t="s">
        <v>59</v>
      </c>
      <c r="E52" s="4">
        <f>SUM(First:Last!E52)</f>
        <v>0</v>
      </c>
      <c r="F52" s="4">
        <f>SUM(First:Last!F52)</f>
        <v>0</v>
      </c>
      <c r="G52" s="4">
        <f>SUM(First:Last!G52)</f>
        <v>0</v>
      </c>
      <c r="H52" s="4">
        <f>SUM(First:Last!H52)</f>
        <v>0</v>
      </c>
      <c r="I52" s="4">
        <f>SUM(First:Last!I52)</f>
        <v>0</v>
      </c>
      <c r="J52" s="4">
        <f>SUM(First:Last!J52)</f>
        <v>0</v>
      </c>
      <c r="K52" s="4">
        <f>SUM(First:Last!K52)</f>
        <v>0</v>
      </c>
      <c r="L52" s="4">
        <f>SUM(First:Last!L52)</f>
        <v>0</v>
      </c>
      <c r="M52" s="4">
        <f>SUM(First:Last!M52)</f>
        <v>0</v>
      </c>
      <c r="N52" s="4">
        <f>SUM(First:Last!N52)</f>
        <v>0</v>
      </c>
      <c r="O52" s="4">
        <f>SUM(First:Last!O52)</f>
        <v>0</v>
      </c>
      <c r="P52" s="4">
        <f>SUM(First:Last!P52)</f>
        <v>0</v>
      </c>
      <c r="Q52" s="4">
        <f>SUM(First:Last!Q52)</f>
        <v>0</v>
      </c>
      <c r="R52" s="4">
        <f>SUM(First:Last!R52)</f>
        <v>0</v>
      </c>
      <c r="S52" s="4">
        <f>SUM(First:Last!S52)</f>
        <v>0</v>
      </c>
      <c r="T52" s="4">
        <f>SUM(First:Last!T52)</f>
        <v>0</v>
      </c>
      <c r="U52" s="4">
        <f>SUM(First:Last!U52)</f>
        <v>0</v>
      </c>
      <c r="V52" s="4">
        <f>SUM(First:Last!V52)</f>
        <v>0</v>
      </c>
    </row>
    <row r="53" spans="1:22" ht="12">
      <c r="A53" t="s">
        <v>60</v>
      </c>
      <c r="E53" s="4">
        <f>SUM(First:Last!E53)</f>
        <v>0</v>
      </c>
      <c r="F53" s="4">
        <f>SUM(First:Last!F53)</f>
        <v>0</v>
      </c>
      <c r="G53" s="4">
        <f>SUM(First:Last!G53)</f>
        <v>0</v>
      </c>
      <c r="H53" s="4">
        <f>SUM(First:Last!H53)</f>
        <v>0</v>
      </c>
      <c r="I53" s="4">
        <f>SUM(First:Last!I53)</f>
        <v>0</v>
      </c>
      <c r="J53" s="4">
        <f>SUM(First:Last!J53)</f>
        <v>0</v>
      </c>
      <c r="K53" s="4">
        <f>SUM(First:Last!K53)</f>
        <v>0</v>
      </c>
      <c r="L53" s="4">
        <f>SUM(First:Last!L53)</f>
        <v>0</v>
      </c>
      <c r="M53" s="4">
        <f>SUM(First:Last!M53)</f>
        <v>0</v>
      </c>
      <c r="N53" s="4">
        <f>SUM(First:Last!N53)</f>
        <v>0</v>
      </c>
      <c r="O53" s="4">
        <f>SUM(First:Last!O53)</f>
        <v>0</v>
      </c>
      <c r="P53" s="4">
        <f>SUM(First:Last!P53)</f>
        <v>0</v>
      </c>
      <c r="Q53" s="4">
        <f>SUM(First:Last!Q53)</f>
        <v>0</v>
      </c>
      <c r="R53" s="4">
        <f>SUM(First:Last!R53)</f>
        <v>0</v>
      </c>
      <c r="S53" s="4">
        <f>SUM(First:Last!S53)</f>
        <v>0</v>
      </c>
      <c r="T53" s="4">
        <f>SUM(First:Last!T53)</f>
        <v>0</v>
      </c>
      <c r="U53" s="4">
        <f>SUM(First:Last!U53)</f>
        <v>0</v>
      </c>
      <c r="V53" s="4">
        <f>SUM(First:Last!V53)</f>
        <v>0</v>
      </c>
    </row>
    <row r="54" spans="1:22" ht="12">
      <c r="A54" t="s">
        <v>61</v>
      </c>
      <c r="E54" s="4">
        <f>SUM(First:Last!E54)</f>
        <v>0</v>
      </c>
      <c r="F54" s="4">
        <f>SUM(First:Last!F54)</f>
        <v>0</v>
      </c>
      <c r="G54" s="4">
        <f>SUM(First:Last!G54)</f>
        <v>0</v>
      </c>
      <c r="H54" s="4">
        <f>SUM(First:Last!H54)</f>
        <v>0</v>
      </c>
      <c r="I54" s="4">
        <f>SUM(First:Last!I54)</f>
        <v>0</v>
      </c>
      <c r="J54" s="4">
        <f>SUM(First:Last!J54)</f>
        <v>0</v>
      </c>
      <c r="K54" s="4">
        <f>SUM(First:Last!K54)</f>
        <v>0</v>
      </c>
      <c r="L54" s="4">
        <f>SUM(First:Last!L54)</f>
        <v>0</v>
      </c>
      <c r="M54" s="4">
        <f>SUM(First:Last!M54)</f>
        <v>0</v>
      </c>
      <c r="N54" s="4">
        <f>SUM(First:Last!N54)</f>
        <v>0</v>
      </c>
      <c r="O54" s="4">
        <f>SUM(First:Last!O54)</f>
        <v>0</v>
      </c>
      <c r="P54" s="4">
        <f>SUM(First:Last!P54)</f>
        <v>0</v>
      </c>
      <c r="Q54" s="4">
        <f>SUM(First:Last!Q54)</f>
        <v>0</v>
      </c>
      <c r="R54" s="4">
        <f>SUM(First:Last!R54)</f>
        <v>0</v>
      </c>
      <c r="S54" s="4">
        <f>SUM(First:Last!S54)</f>
        <v>0</v>
      </c>
      <c r="T54" s="4">
        <f>SUM(First:Last!T54)</f>
        <v>0</v>
      </c>
      <c r="U54" s="4">
        <f>SUM(First:Last!U54)</f>
        <v>0</v>
      </c>
      <c r="V54" s="4">
        <f>SUM(First:Last!V54)</f>
        <v>0</v>
      </c>
    </row>
    <row r="55" spans="1:22" ht="12">
      <c r="A55" t="s">
        <v>62</v>
      </c>
      <c r="E55" s="11">
        <f>SUM(First:Last!E55)</f>
        <v>0</v>
      </c>
      <c r="F55" s="11">
        <f>SUM(First:Last!F55)</f>
        <v>0</v>
      </c>
      <c r="G55" s="11">
        <f>SUM(First:Last!G55)</f>
        <v>0</v>
      </c>
      <c r="H55" s="11">
        <f>SUM(First:Last!H55)</f>
        <v>0</v>
      </c>
      <c r="I55" s="11">
        <f>SUM(First:Last!I55)</f>
        <v>0</v>
      </c>
      <c r="J55" s="11">
        <f>SUM(First:Last!J55)</f>
        <v>0</v>
      </c>
      <c r="K55" s="11">
        <f>SUM(First:Last!K55)</f>
        <v>0</v>
      </c>
      <c r="L55" s="11">
        <f>SUM(First:Last!L55)</f>
        <v>0</v>
      </c>
      <c r="M55" s="11">
        <f>SUM(First:Last!M55)</f>
        <v>0</v>
      </c>
      <c r="N55" s="11">
        <f>SUM(First:Last!N55)</f>
        <v>0</v>
      </c>
      <c r="O55" s="11">
        <f>SUM(First:Last!O55)</f>
        <v>0</v>
      </c>
      <c r="P55" s="11">
        <f>SUM(First:Last!P55)</f>
        <v>0</v>
      </c>
      <c r="Q55" s="11">
        <f>SUM(First:Last!Q55)</f>
        <v>0</v>
      </c>
      <c r="R55" s="11">
        <f>SUM(First:Last!R55)</f>
        <v>0</v>
      </c>
      <c r="S55" s="11">
        <f>SUM(First:Last!S55)</f>
        <v>0</v>
      </c>
      <c r="T55" s="11">
        <f>SUM(First:Last!T55)</f>
        <v>0</v>
      </c>
      <c r="U55" s="11">
        <f>SUM(First:Last!U55)</f>
        <v>0</v>
      </c>
      <c r="V55" s="11">
        <f>SUM(First:Last!V55)</f>
        <v>0</v>
      </c>
    </row>
    <row r="56" spans="1:22" ht="12">
      <c r="A56" t="s">
        <v>29</v>
      </c>
      <c r="E56" s="4">
        <f>SUM(E47:E55)</f>
        <v>-122814999.61847275</v>
      </c>
      <c r="F56" s="4">
        <f>SUM(F47:F55)</f>
        <v>-7776500</v>
      </c>
      <c r="G56" s="4">
        <f>SUM(G47:G55)</f>
        <v>-2758340</v>
      </c>
      <c r="H56" s="4">
        <f aca="true" t="shared" si="3" ref="H56:V56">SUM(H47:H55)</f>
        <v>-2895726.55</v>
      </c>
      <c r="I56" s="4">
        <f t="shared" si="3"/>
        <v>-5289891.407000001</v>
      </c>
      <c r="J56" s="4">
        <f t="shared" si="3"/>
        <v>-12404232.595010001</v>
      </c>
      <c r="K56" s="4">
        <f t="shared" si="3"/>
        <v>-22030264.870960053</v>
      </c>
      <c r="L56" s="4">
        <f t="shared" si="3"/>
        <v>-11001221.726225464</v>
      </c>
      <c r="M56" s="4">
        <f t="shared" si="3"/>
        <v>-10134160.651100932</v>
      </c>
      <c r="N56" s="4">
        <f t="shared" si="3"/>
        <v>-3914319.5514877345</v>
      </c>
      <c r="O56" s="4">
        <f t="shared" si="3"/>
        <v>-873545.6465736794</v>
      </c>
      <c r="P56" s="4">
        <f t="shared" si="3"/>
        <v>-1384233.870724446</v>
      </c>
      <c r="Q56" s="4">
        <f t="shared" si="3"/>
        <v>-712880.4434230897</v>
      </c>
      <c r="R56" s="4">
        <f t="shared" si="3"/>
        <v>-734266.8567257824</v>
      </c>
      <c r="S56" s="4">
        <f t="shared" si="3"/>
        <v>0</v>
      </c>
      <c r="T56" s="4">
        <f t="shared" si="3"/>
        <v>0</v>
      </c>
      <c r="U56" s="4">
        <f t="shared" si="3"/>
        <v>0</v>
      </c>
      <c r="V56" s="4">
        <f t="shared" si="3"/>
        <v>0</v>
      </c>
    </row>
    <row r="58" ht="12">
      <c r="A58" s="5" t="s">
        <v>31</v>
      </c>
    </row>
    <row r="59" spans="1:23" ht="12">
      <c r="A59" t="s">
        <v>27</v>
      </c>
      <c r="E59" s="4">
        <f>SUM(First:Last!E59)</f>
        <v>0</v>
      </c>
      <c r="F59" s="4">
        <f>SUM(First:Last!F59)</f>
        <v>44409084.375</v>
      </c>
      <c r="G59" s="4">
        <f>SUM(First:Last!G59)</f>
        <v>11740969.93125</v>
      </c>
      <c r="H59" s="4">
        <f>SUM(First:Last!H59)</f>
        <v>18697439.189187497</v>
      </c>
      <c r="I59" s="4">
        <f>SUM(First:Last!I59)</f>
        <v>24923162.36486312</v>
      </c>
      <c r="J59" s="4">
        <f>SUM(First:Last!J59)</f>
        <v>18658892.735809017</v>
      </c>
      <c r="K59" s="4">
        <f>SUM(First:Last!K59)</f>
        <v>19192024.517883286</v>
      </c>
      <c r="L59" s="4">
        <f>SUM(First:Last!L59)</f>
        <v>64763226.07282813</v>
      </c>
      <c r="M59" s="4">
        <f>SUM(First:Last!M59)</f>
        <v>40173822.36457884</v>
      </c>
      <c r="N59" s="4">
        <f>SUM(First:Last!N59)</f>
        <v>41352017.03551622</v>
      </c>
      <c r="O59" s="4">
        <f>SUM(First:Last!O59)</f>
        <v>42565257.5465817</v>
      </c>
      <c r="P59" s="4">
        <f>SUM(First:Last!P59)</f>
        <v>31389279.476271927</v>
      </c>
      <c r="Q59" s="4">
        <f>SUM(First:Last!Q59)</f>
        <v>31029037.860560074</v>
      </c>
      <c r="R59" s="4">
        <f>SUM(First:Last!R59)</f>
        <v>31959908.996376876</v>
      </c>
      <c r="S59" s="4">
        <f>SUM(First:Last!S59)</f>
        <v>0</v>
      </c>
      <c r="T59" s="4">
        <f>SUM(First:Last!T59)</f>
        <v>0</v>
      </c>
      <c r="U59" s="4">
        <f>SUM(First:Last!U59)</f>
        <v>0</v>
      </c>
      <c r="V59" s="4">
        <f>SUM(First:Last!V59)</f>
        <v>0</v>
      </c>
      <c r="W59" s="4">
        <f>SUM(E59:V59)</f>
        <v>420854122.46670663</v>
      </c>
    </row>
    <row r="60" spans="1:22" ht="12">
      <c r="A60" t="s">
        <v>26</v>
      </c>
      <c r="E60" s="4">
        <f>SUM(First:Last!E60)</f>
        <v>0</v>
      </c>
      <c r="F60" s="4">
        <f>SUM(First:Last!F60)</f>
        <v>-1402352.32</v>
      </c>
      <c r="G60" s="4">
        <f>SUM(First:Last!G60)</f>
        <v>-1172736.9971523657</v>
      </c>
      <c r="H60" s="4">
        <f>SUM(First:Last!H60)</f>
        <v>-1166931.4419487878</v>
      </c>
      <c r="I60" s="4">
        <f>SUM(First:Last!I60)</f>
        <v>-1132127.6848053169</v>
      </c>
      <c r="J60" s="4">
        <f>SUM(First:Last!J60)</f>
        <v>-1094194.4639354844</v>
      </c>
      <c r="K60" s="4">
        <f>SUM(First:Last!K60)</f>
        <v>-1052975.334897137</v>
      </c>
      <c r="L60" s="4">
        <f>SUM(First:Last!L60)</f>
        <v>-1008307.2830989469</v>
      </c>
      <c r="M60" s="4">
        <f>SUM(First:Last!M60)</f>
        <v>-782828.1309793344</v>
      </c>
      <c r="N60" s="4">
        <f>SUM(First:Last!N60)</f>
        <v>-649052.5457698978</v>
      </c>
      <c r="O60" s="4">
        <f>SUM(First:Last!O60)</f>
        <v>-506554.88013001333</v>
      </c>
      <c r="P60" s="4">
        <f>SUM(First:Last!P60)</f>
        <v>-349932.207260543</v>
      </c>
      <c r="Q60" s="4">
        <f>SUM(First:Last!Q60)</f>
        <v>-241853.44898557288</v>
      </c>
      <c r="R60" s="4">
        <f>SUM(First:Last!R60)</f>
        <v>-126979.52622757002</v>
      </c>
      <c r="S60" s="4">
        <f>SUM(First:Last!S60)</f>
        <v>0</v>
      </c>
      <c r="T60" s="4">
        <f>SUM(First:Last!T60)</f>
        <v>0</v>
      </c>
      <c r="U60" s="4">
        <f>SUM(First:Last!U60)</f>
        <v>0</v>
      </c>
      <c r="V60" s="4">
        <f>SUM(First:Last!V60)</f>
        <v>0</v>
      </c>
    </row>
    <row r="61" spans="1:23" ht="12">
      <c r="A61" t="s">
        <v>29</v>
      </c>
      <c r="E61" s="11">
        <f>SUM(First:Last!E61)</f>
        <v>-122814999.61847274</v>
      </c>
      <c r="F61" s="11">
        <f>SUM(First:Last!F61)</f>
        <v>-7776500</v>
      </c>
      <c r="G61" s="11">
        <f>SUM(First:Last!G61)</f>
        <v>-2758340</v>
      </c>
      <c r="H61" s="11">
        <f>SUM(First:Last!H61)</f>
        <v>-2895726.55</v>
      </c>
      <c r="I61" s="11">
        <f>SUM(First:Last!I61)</f>
        <v>-5289891.407000001</v>
      </c>
      <c r="J61" s="11">
        <f>SUM(First:Last!J61)</f>
        <v>-12404232.595010001</v>
      </c>
      <c r="K61" s="11">
        <f>SUM(First:Last!K61)</f>
        <v>-22030264.870960053</v>
      </c>
      <c r="L61" s="11">
        <f>SUM(First:Last!L61)</f>
        <v>-11001221.726225464</v>
      </c>
      <c r="M61" s="11">
        <f>SUM(First:Last!M61)</f>
        <v>-10134160.651100932</v>
      </c>
      <c r="N61" s="11">
        <f>SUM(First:Last!N61)</f>
        <v>-3914319.5514877345</v>
      </c>
      <c r="O61" s="11">
        <f>SUM(First:Last!O61)</f>
        <v>-873545.6465736794</v>
      </c>
      <c r="P61" s="11">
        <f>SUM(First:Last!P61)</f>
        <v>-1384233.870724446</v>
      </c>
      <c r="Q61" s="11">
        <f>SUM(First:Last!Q61)</f>
        <v>-712880.4434230897</v>
      </c>
      <c r="R61" s="11">
        <f>SUM(First:Last!R61)</f>
        <v>-734266.8567257824</v>
      </c>
      <c r="S61" s="11">
        <f>SUM(First:Last!S61)</f>
        <v>0</v>
      </c>
      <c r="T61" s="11">
        <f>SUM(First:Last!T61)</f>
        <v>0</v>
      </c>
      <c r="U61" s="11">
        <f>SUM(First:Last!U61)</f>
        <v>0</v>
      </c>
      <c r="V61" s="11">
        <f>SUM(First:Last!V61)</f>
        <v>0</v>
      </c>
      <c r="W61" s="4">
        <f>SUM(E61:V61)</f>
        <v>-204724583.78770396</v>
      </c>
    </row>
    <row r="62" spans="1:22" ht="12">
      <c r="A62" t="s">
        <v>30</v>
      </c>
      <c r="E62" s="4">
        <f>SUM(E59:E61)</f>
        <v>-122814999.61847274</v>
      </c>
      <c r="F62" s="4">
        <f aca="true" t="shared" si="4" ref="F62:V62">SUM(F59:F61)</f>
        <v>35230232.055</v>
      </c>
      <c r="G62" s="4">
        <f t="shared" si="4"/>
        <v>7809892.934097635</v>
      </c>
      <c r="H62" s="4">
        <f t="shared" si="4"/>
        <v>14634781.19723871</v>
      </c>
      <c r="I62" s="4">
        <f t="shared" si="4"/>
        <v>18501143.2730578</v>
      </c>
      <c r="J62" s="4">
        <f t="shared" si="4"/>
        <v>5160465.6768635325</v>
      </c>
      <c r="K62" s="4">
        <f t="shared" si="4"/>
        <v>-3891215.6879739054</v>
      </c>
      <c r="L62" s="4">
        <f t="shared" si="4"/>
        <v>52753697.06350372</v>
      </c>
      <c r="M62" s="4">
        <f t="shared" si="4"/>
        <v>29256833.582498573</v>
      </c>
      <c r="N62" s="4">
        <f t="shared" si="4"/>
        <v>36788644.93825858</v>
      </c>
      <c r="O62" s="4">
        <f t="shared" si="4"/>
        <v>41185157.01987801</v>
      </c>
      <c r="P62" s="4">
        <f t="shared" si="4"/>
        <v>29655113.39828694</v>
      </c>
      <c r="Q62" s="4">
        <f t="shared" si="4"/>
        <v>30074303.968151413</v>
      </c>
      <c r="R62" s="4">
        <f t="shared" si="4"/>
        <v>31098662.613423523</v>
      </c>
      <c r="S62" s="4">
        <f t="shared" si="4"/>
        <v>0</v>
      </c>
      <c r="T62" s="4">
        <f t="shared" si="4"/>
        <v>0</v>
      </c>
      <c r="U62" s="4">
        <f t="shared" si="4"/>
        <v>0</v>
      </c>
      <c r="V62" s="4">
        <f t="shared" si="4"/>
        <v>0</v>
      </c>
    </row>
    <row r="63" spans="5:22" ht="12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23:24" ht="12">
      <c r="W64" s="4">
        <f>SUM(W59:W61)</f>
        <v>216129538.67900267</v>
      </c>
      <c r="X64" s="33">
        <f>W64/W59</f>
        <v>0.5135497720973388</v>
      </c>
    </row>
    <row r="65" spans="1:24" ht="12.75" thickBot="1">
      <c r="A65" s="31" t="s">
        <v>110</v>
      </c>
      <c r="E65" s="32">
        <f>IRR(E62:V62)</f>
        <v>0.15301602932356637</v>
      </c>
      <c r="W65" s="4">
        <f>W64+X65</f>
        <v>205442712.4138117</v>
      </c>
      <c r="X65" s="4">
        <f>SUM(F60:V60)</f>
        <v>-10686826.265190972</v>
      </c>
    </row>
    <row r="66" spans="1:5" ht="12.75" thickTop="1">
      <c r="A66" s="31"/>
      <c r="E66" s="34"/>
    </row>
    <row r="67" spans="1:23" ht="12.75" thickBot="1">
      <c r="A67" s="31" t="s">
        <v>111</v>
      </c>
      <c r="E67" s="34"/>
      <c r="F67" s="35">
        <f>(F59*$X$64)+F60</f>
        <v>21403922.839832738</v>
      </c>
      <c r="G67" s="35">
        <f aca="true" t="shared" si="5" ref="G67:V67">(G59*$X$64)+G60</f>
        <v>4856835.43524278</v>
      </c>
      <c r="H67" s="35">
        <f t="shared" si="5"/>
        <v>8435134.1924623</v>
      </c>
      <c r="I67" s="35">
        <f t="shared" si="5"/>
        <v>11667156.667615108</v>
      </c>
      <c r="J67" s="35">
        <f t="shared" si="5"/>
        <v>8488075.648127925</v>
      </c>
      <c r="K67" s="35">
        <f t="shared" si="5"/>
        <v>8803084.482348364</v>
      </c>
      <c r="L67" s="35">
        <f t="shared" si="5"/>
        <v>32250832.706890367</v>
      </c>
      <c r="M67" s="35">
        <f t="shared" si="5"/>
        <v>19848429.188629102</v>
      </c>
      <c r="N67" s="35">
        <f t="shared" si="5"/>
        <v>20587266.378584728</v>
      </c>
      <c r="O67" s="35">
        <f t="shared" si="5"/>
        <v>21352823.43218155</v>
      </c>
      <c r="P67" s="35">
        <f t="shared" si="5"/>
        <v>15770025.114078578</v>
      </c>
      <c r="Q67" s="35">
        <f t="shared" si="5"/>
        <v>15693101.87270475</v>
      </c>
      <c r="R67" s="35">
        <f t="shared" si="5"/>
        <v>16286024.455113463</v>
      </c>
      <c r="S67" s="35">
        <f t="shared" si="5"/>
        <v>0</v>
      </c>
      <c r="T67" s="35">
        <f t="shared" si="5"/>
        <v>0</v>
      </c>
      <c r="U67" s="35">
        <f t="shared" si="5"/>
        <v>0</v>
      </c>
      <c r="V67" s="35">
        <f t="shared" si="5"/>
        <v>0</v>
      </c>
      <c r="W67" s="26">
        <f>SUM(F67:V67)</f>
        <v>205442712.41381174</v>
      </c>
    </row>
    <row r="68" spans="1:5" ht="12.75" thickTop="1">
      <c r="A68" s="31"/>
      <c r="E68" s="34"/>
    </row>
    <row r="69" spans="1:22" ht="12.75" thickBot="1">
      <c r="A69" s="31" t="s">
        <v>121</v>
      </c>
      <c r="E69" s="36">
        <f>E62</f>
        <v>-122814999.61847274</v>
      </c>
      <c r="F69" s="37">
        <f>F62-(0.4*F67)</f>
        <v>26668662.919066906</v>
      </c>
      <c r="G69" s="37">
        <f aca="true" t="shared" si="6" ref="G69:V69">G62-(0.4*G67)</f>
        <v>5867158.760000523</v>
      </c>
      <c r="H69" s="37">
        <f t="shared" si="6"/>
        <v>11260727.520253789</v>
      </c>
      <c r="I69" s="37">
        <f t="shared" si="6"/>
        <v>13834280.606011756</v>
      </c>
      <c r="J69" s="37">
        <f t="shared" si="6"/>
        <v>1765235.4176123627</v>
      </c>
      <c r="K69" s="37">
        <f t="shared" si="6"/>
        <v>-7412449.480913252</v>
      </c>
      <c r="L69" s="37">
        <f t="shared" si="6"/>
        <v>39853363.98074757</v>
      </c>
      <c r="M69" s="37">
        <f t="shared" si="6"/>
        <v>21317461.907046933</v>
      </c>
      <c r="N69" s="37">
        <f t="shared" si="6"/>
        <v>28553738.38682469</v>
      </c>
      <c r="O69" s="37">
        <f t="shared" si="6"/>
        <v>32644027.647005387</v>
      </c>
      <c r="P69" s="37">
        <f t="shared" si="6"/>
        <v>23347103.352655508</v>
      </c>
      <c r="Q69" s="37">
        <f t="shared" si="6"/>
        <v>23797063.21906951</v>
      </c>
      <c r="R69" s="37">
        <f t="shared" si="6"/>
        <v>24584252.831378136</v>
      </c>
      <c r="S69" s="37">
        <f t="shared" si="6"/>
        <v>0</v>
      </c>
      <c r="T69" s="37">
        <f t="shared" si="6"/>
        <v>0</v>
      </c>
      <c r="U69" s="37">
        <f t="shared" si="6"/>
        <v>0</v>
      </c>
      <c r="V69" s="37">
        <f t="shared" si="6"/>
        <v>0</v>
      </c>
    </row>
    <row r="70" spans="1:5" ht="12.75" thickTop="1">
      <c r="A70" s="31"/>
      <c r="E70" s="34"/>
    </row>
    <row r="71" spans="1:5" ht="12.75" thickBot="1">
      <c r="A71" s="31" t="s">
        <v>122</v>
      </c>
      <c r="E71" s="32">
        <f>IRR(E69:V69)</f>
        <v>0.098751818127878</v>
      </c>
    </row>
    <row r="72" ht="12.75" thickTop="1">
      <c r="A72" s="31"/>
    </row>
    <row r="73" spans="5:9" ht="12">
      <c r="E73" s="13"/>
      <c r="G73" t="s">
        <v>105</v>
      </c>
      <c r="I73" s="15">
        <f>NPV($E$65,Alexandria!F62:V62)</f>
        <v>34313908.18850471</v>
      </c>
    </row>
    <row r="74" spans="1:9" ht="12">
      <c r="A74" t="s">
        <v>33</v>
      </c>
      <c r="D74" s="14">
        <v>0.1</v>
      </c>
      <c r="E74" s="15">
        <f>NPV(D74,$F$94:$T$94)+$E$94</f>
        <v>164306417.07060516</v>
      </c>
      <c r="G74" t="s">
        <v>106</v>
      </c>
      <c r="I74" s="15">
        <f>NPV($E$65,'Potomac Greens'!F62:T62)</f>
        <v>15239228.296165429</v>
      </c>
    </row>
    <row r="75" spans="1:9" ht="12">
      <c r="A75" t="s">
        <v>33</v>
      </c>
      <c r="D75" s="14">
        <v>0.15</v>
      </c>
      <c r="E75" s="15">
        <f>NPV(D75,$F$94:$T$94)+$E$94</f>
        <v>124708283.52032162</v>
      </c>
      <c r="G75" t="s">
        <v>107</v>
      </c>
      <c r="I75" s="29">
        <f>NPV($E$65,Arlington!F62:T62)</f>
        <v>73261863.13380267</v>
      </c>
    </row>
    <row r="76" spans="1:9" ht="12.75" thickBot="1">
      <c r="A76" t="s">
        <v>33</v>
      </c>
      <c r="D76" s="14">
        <v>0.2</v>
      </c>
      <c r="E76" s="15">
        <f>NPV(D76,$F$94:$T$94)+$E$94</f>
        <v>98523382.84476838</v>
      </c>
      <c r="G76" t="s">
        <v>108</v>
      </c>
      <c r="I76" s="30">
        <f>SUM(I73:I75)</f>
        <v>122814999.61847281</v>
      </c>
    </row>
    <row r="77" ht="12.75" thickTop="1"/>
    <row r="85" spans="1:20" ht="12">
      <c r="A85" s="8" t="s">
        <v>14</v>
      </c>
      <c r="B85" s="8"/>
      <c r="C85" s="8"/>
      <c r="D85" s="8"/>
      <c r="E85" s="8">
        <v>2000</v>
      </c>
      <c r="F85" s="9">
        <v>2001</v>
      </c>
      <c r="G85" s="9">
        <v>2002</v>
      </c>
      <c r="H85" s="9">
        <v>2003</v>
      </c>
      <c r="I85" s="9">
        <v>2004</v>
      </c>
      <c r="J85" s="9">
        <v>2005</v>
      </c>
      <c r="K85" s="9">
        <v>2006</v>
      </c>
      <c r="L85" s="9">
        <v>2007</v>
      </c>
      <c r="M85" s="9">
        <v>2008</v>
      </c>
      <c r="N85" s="9">
        <v>2009</v>
      </c>
      <c r="O85" s="9">
        <v>2010</v>
      </c>
      <c r="P85" s="9">
        <v>2011</v>
      </c>
      <c r="Q85" s="9">
        <v>2012</v>
      </c>
      <c r="R85" s="9">
        <v>2013</v>
      </c>
      <c r="S85" s="9">
        <v>2014</v>
      </c>
      <c r="T85" s="9">
        <v>2015</v>
      </c>
    </row>
    <row r="86" spans="1:20" ht="12">
      <c r="A86" t="s">
        <v>15</v>
      </c>
      <c r="E86">
        <v>0</v>
      </c>
      <c r="F86" s="7">
        <v>1</v>
      </c>
      <c r="G86" s="7">
        <v>2</v>
      </c>
      <c r="H86" s="7">
        <v>3</v>
      </c>
      <c r="I86" s="7">
        <v>4</v>
      </c>
      <c r="J86" s="7">
        <v>5</v>
      </c>
      <c r="K86" s="7">
        <v>6</v>
      </c>
      <c r="L86" s="7">
        <v>7</v>
      </c>
      <c r="M86" s="7">
        <v>8</v>
      </c>
      <c r="N86" s="7">
        <v>9</v>
      </c>
      <c r="O86" s="7">
        <v>10</v>
      </c>
      <c r="P86" s="7">
        <v>11</v>
      </c>
      <c r="Q86" s="7">
        <v>12</v>
      </c>
      <c r="R86" s="7">
        <v>13</v>
      </c>
      <c r="S86" s="7">
        <v>14</v>
      </c>
      <c r="T86" s="7">
        <v>15</v>
      </c>
    </row>
    <row r="88" ht="12">
      <c r="A88" s="5" t="s">
        <v>34</v>
      </c>
    </row>
    <row r="89" spans="1:21" ht="12">
      <c r="A89" t="s">
        <v>7</v>
      </c>
      <c r="E89" s="4">
        <f>SUM(First:Last!E81)</f>
        <v>108624511</v>
      </c>
      <c r="F89" s="4">
        <f>SUM(First:Last!F81)</f>
        <v>0</v>
      </c>
      <c r="G89" s="4">
        <f>SUM(First:Last!G81)</f>
        <v>0</v>
      </c>
      <c r="H89" s="4">
        <f>SUM(First:Last!H81)</f>
        <v>0</v>
      </c>
      <c r="I89" s="4">
        <f>SUM(First:Last!I81)</f>
        <v>0</v>
      </c>
      <c r="J89" s="4">
        <f>SUM(First:Last!J81)</f>
        <v>0</v>
      </c>
      <c r="K89" s="4">
        <f>SUM(First:Last!K81)</f>
        <v>0</v>
      </c>
      <c r="L89" s="4">
        <f>SUM(First:Last!L81)</f>
        <v>0</v>
      </c>
      <c r="M89" s="4">
        <f>SUM(First:Last!M81)</f>
        <v>0</v>
      </c>
      <c r="N89" s="4">
        <f>SUM(First:Last!N81)</f>
        <v>0</v>
      </c>
      <c r="O89" s="4">
        <f>SUM(First:Last!O81)</f>
        <v>0</v>
      </c>
      <c r="P89" s="4">
        <f>SUM(First:Last!P81)</f>
        <v>0</v>
      </c>
      <c r="Q89" s="4">
        <f>SUM(First:Last!Q81)</f>
        <v>0</v>
      </c>
      <c r="R89" s="4">
        <f>SUM(First:Last!R81)</f>
        <v>0</v>
      </c>
      <c r="S89" s="4">
        <f>SUM(First:Last!S81)</f>
        <v>0</v>
      </c>
      <c r="T89" s="4">
        <f>SUM(First:Last!T81)</f>
        <v>0</v>
      </c>
      <c r="U89" s="4"/>
    </row>
    <row r="90" spans="1:21" ht="12">
      <c r="A90" t="s">
        <v>2</v>
      </c>
      <c r="E90" s="4">
        <f>SUM(First:Last!E82)</f>
        <v>7194248.647502208</v>
      </c>
      <c r="F90" s="4">
        <f>SUM(First:Last!F82)</f>
        <v>0</v>
      </c>
      <c r="G90" s="4">
        <f>SUM(First:Last!G82)</f>
        <v>0</v>
      </c>
      <c r="H90" s="4">
        <f>SUM(First:Last!H82)</f>
        <v>0</v>
      </c>
      <c r="I90" s="4">
        <f>SUM(First:Last!I82)</f>
        <v>0</v>
      </c>
      <c r="J90" s="4">
        <f>SUM(First:Last!J82)</f>
        <v>0</v>
      </c>
      <c r="K90" s="4">
        <f>SUM(First:Last!K82)</f>
        <v>0</v>
      </c>
      <c r="L90" s="4">
        <f>SUM(First:Last!L82)</f>
        <v>0</v>
      </c>
      <c r="M90" s="4">
        <f>SUM(First:Last!M82)</f>
        <v>0</v>
      </c>
      <c r="N90" s="4">
        <f>SUM(First:Last!N82)</f>
        <v>0</v>
      </c>
      <c r="O90" s="4">
        <f>SUM(First:Last!O82)</f>
        <v>0</v>
      </c>
      <c r="P90" s="4">
        <f>SUM(First:Last!P82)</f>
        <v>0</v>
      </c>
      <c r="Q90" s="4">
        <f>SUM(First:Last!Q82)</f>
        <v>0</v>
      </c>
      <c r="R90" s="4">
        <f>SUM(First:Last!R82)</f>
        <v>0</v>
      </c>
      <c r="S90" s="4">
        <f>SUM(First:Last!S82)</f>
        <v>0</v>
      </c>
      <c r="T90" s="4">
        <f>SUM(First:Last!T82)</f>
        <v>0</v>
      </c>
      <c r="U90" s="4"/>
    </row>
    <row r="91" spans="1:21" ht="12">
      <c r="A91" t="s">
        <v>79</v>
      </c>
      <c r="E91" s="4">
        <f>SUM(First:Last!E83)</f>
        <v>5181239.976608866</v>
      </c>
      <c r="F91" s="4">
        <f>SUM(First:Last!F83)</f>
        <v>0</v>
      </c>
      <c r="G91" s="4">
        <f>SUM(First:Last!G83)</f>
        <v>0</v>
      </c>
      <c r="H91" s="4">
        <f>SUM(First:Last!H83)</f>
        <v>0</v>
      </c>
      <c r="I91" s="4">
        <f>SUM(First:Last!I83)</f>
        <v>0</v>
      </c>
      <c r="J91" s="4">
        <f>SUM(First:Last!J83)</f>
        <v>0</v>
      </c>
      <c r="K91" s="4">
        <f>SUM(First:Last!K83)</f>
        <v>0</v>
      </c>
      <c r="L91" s="4">
        <f>SUM(First:Last!L83)</f>
        <v>0</v>
      </c>
      <c r="M91" s="4">
        <f>SUM(First:Last!M83)</f>
        <v>0</v>
      </c>
      <c r="N91" s="4">
        <f>SUM(First:Last!N83)</f>
        <v>0</v>
      </c>
      <c r="O91" s="4">
        <f>SUM(First:Last!O83)</f>
        <v>0</v>
      </c>
      <c r="P91" s="4">
        <f>SUM(First:Last!P83)</f>
        <v>0</v>
      </c>
      <c r="Q91" s="4">
        <f>SUM(First:Last!Q83)</f>
        <v>0</v>
      </c>
      <c r="R91" s="4">
        <f>SUM(First:Last!R83)</f>
        <v>0</v>
      </c>
      <c r="S91" s="4">
        <f>SUM(First:Last!S83)</f>
        <v>0</v>
      </c>
      <c r="T91" s="4">
        <f>SUM(First:Last!T83)</f>
        <v>0</v>
      </c>
      <c r="U91" s="4"/>
    </row>
    <row r="92" spans="1:21" ht="12">
      <c r="A92" t="s">
        <v>104</v>
      </c>
      <c r="E92" s="4">
        <f>SUM(First:Last!E84)</f>
        <v>1814999.994361666</v>
      </c>
      <c r="F92" s="4">
        <f>SUM(First:Last!F84)</f>
        <v>0</v>
      </c>
      <c r="G92" s="4">
        <f>SUM(First:Last!G84)</f>
        <v>0</v>
      </c>
      <c r="H92" s="4">
        <f>SUM(First:Last!H84)</f>
        <v>0</v>
      </c>
      <c r="I92" s="4">
        <f>SUM(First:Last!I84)</f>
        <v>0</v>
      </c>
      <c r="J92" s="4">
        <f>SUM(First:Last!J84)</f>
        <v>0</v>
      </c>
      <c r="K92" s="4">
        <f>SUM(First:Last!K84)</f>
        <v>0</v>
      </c>
      <c r="L92" s="4">
        <f>SUM(First:Last!L84)</f>
        <v>0</v>
      </c>
      <c r="M92" s="4">
        <f>SUM(First:Last!M84)</f>
        <v>0</v>
      </c>
      <c r="N92" s="4">
        <f>SUM(First:Last!N84)</f>
        <v>0</v>
      </c>
      <c r="O92" s="4">
        <f>SUM(First:Last!O84)</f>
        <v>0</v>
      </c>
      <c r="P92" s="4">
        <f>SUM(First:Last!P84)</f>
        <v>0</v>
      </c>
      <c r="Q92" s="4">
        <f>SUM(First:Last!Q84)</f>
        <v>0</v>
      </c>
      <c r="R92" s="4">
        <f>SUM(First:Last!R84)</f>
        <v>0</v>
      </c>
      <c r="S92" s="4">
        <f>SUM(First:Last!S84)</f>
        <v>0</v>
      </c>
      <c r="T92" s="4">
        <f>SUM(First:Last!T84)</f>
        <v>0</v>
      </c>
      <c r="U92" s="4"/>
    </row>
    <row r="93" spans="1:21" ht="12">
      <c r="A93" t="s">
        <v>30</v>
      </c>
      <c r="E93" s="11">
        <f>SUM(First:Last!E85)</f>
        <v>-122814999.61847274</v>
      </c>
      <c r="F93" s="11">
        <f>SUM(First:Last!F85)</f>
        <v>35230232.055</v>
      </c>
      <c r="G93" s="11">
        <f>SUM(First:Last!G85)</f>
        <v>7809892.934097636</v>
      </c>
      <c r="H93" s="11">
        <f>SUM(First:Last!H85)</f>
        <v>14634781.19723871</v>
      </c>
      <c r="I93" s="11">
        <f>SUM(First:Last!I85)</f>
        <v>18501143.273057804</v>
      </c>
      <c r="J93" s="11">
        <f>SUM(First:Last!J85)</f>
        <v>5160465.676863531</v>
      </c>
      <c r="K93" s="11">
        <f>SUM(First:Last!K85)</f>
        <v>-3891215.6879739016</v>
      </c>
      <c r="L93" s="11">
        <f>SUM(First:Last!L85)</f>
        <v>52753697.06350371</v>
      </c>
      <c r="M93" s="11">
        <f>SUM(First:Last!M85)</f>
        <v>29256833.582498573</v>
      </c>
      <c r="N93" s="11">
        <f>SUM(First:Last!N85)</f>
        <v>36788644.93825858</v>
      </c>
      <c r="O93" s="11">
        <f>SUM(First:Last!O85)</f>
        <v>41185157.01987801</v>
      </c>
      <c r="P93" s="11">
        <f>SUM(First:Last!P85)</f>
        <v>29655113.39828694</v>
      </c>
      <c r="Q93" s="11">
        <f>SUM(First:Last!Q85)</f>
        <v>30074303.968151413</v>
      </c>
      <c r="R93" s="11">
        <f>SUM(First:Last!R85)</f>
        <v>31098662.613423523</v>
      </c>
      <c r="S93" s="11">
        <f>SUM(First:Last!S85)</f>
        <v>0</v>
      </c>
      <c r="T93" s="11">
        <f>SUM(First:Last!T85)</f>
        <v>0</v>
      </c>
      <c r="U93" s="11"/>
    </row>
    <row r="94" spans="1:20" ht="12">
      <c r="A94" t="s">
        <v>35</v>
      </c>
      <c r="E94" s="4">
        <f>SUM(E89:E93)</f>
        <v>0</v>
      </c>
      <c r="F94" s="4">
        <f aca="true" t="shared" si="7" ref="F94:T94">SUM(F89:F93)</f>
        <v>35230232.055</v>
      </c>
      <c r="G94" s="4">
        <f t="shared" si="7"/>
        <v>7809892.934097636</v>
      </c>
      <c r="H94" s="4">
        <f t="shared" si="7"/>
        <v>14634781.19723871</v>
      </c>
      <c r="I94" s="4">
        <f t="shared" si="7"/>
        <v>18501143.273057804</v>
      </c>
      <c r="J94" s="4">
        <f t="shared" si="7"/>
        <v>5160465.676863531</v>
      </c>
      <c r="K94" s="4">
        <f t="shared" si="7"/>
        <v>-3891215.6879739016</v>
      </c>
      <c r="L94" s="4">
        <f t="shared" si="7"/>
        <v>52753697.06350371</v>
      </c>
      <c r="M94" s="4">
        <f t="shared" si="7"/>
        <v>29256833.582498573</v>
      </c>
      <c r="N94" s="4">
        <f t="shared" si="7"/>
        <v>36788644.93825858</v>
      </c>
      <c r="O94" s="4">
        <f t="shared" si="7"/>
        <v>41185157.01987801</v>
      </c>
      <c r="P94" s="4">
        <f t="shared" si="7"/>
        <v>29655113.39828694</v>
      </c>
      <c r="Q94" s="4">
        <f t="shared" si="7"/>
        <v>30074303.968151413</v>
      </c>
      <c r="R94" s="4">
        <f t="shared" si="7"/>
        <v>31098662.613423523</v>
      </c>
      <c r="S94" s="4">
        <f t="shared" si="7"/>
        <v>0</v>
      </c>
      <c r="T94" s="4">
        <f t="shared" si="7"/>
        <v>0</v>
      </c>
    </row>
    <row r="95" spans="5:20" ht="12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7" ht="12">
      <c r="A97" s="5"/>
    </row>
    <row r="98" spans="5:20" ht="12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5:20" ht="12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5:20" ht="12"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5:20" ht="12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3" ht="12">
      <c r="A103" s="5"/>
    </row>
    <row r="104" spans="5:20" ht="12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5:20" ht="12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5:20" ht="12"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</row>
    <row r="107" spans="5:20" ht="12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9" ht="12">
      <c r="A109" s="5"/>
    </row>
    <row r="110" spans="5:20" ht="12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5:20" ht="12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5:20" ht="12"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</row>
    <row r="113" spans="5:20" ht="12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5" ht="12">
      <c r="A115" s="5"/>
    </row>
    <row r="116" spans="5:20" ht="12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5:20" ht="12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5:20" ht="12"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</row>
    <row r="119" spans="5:20" ht="12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</sheetData>
  <mergeCells count="2">
    <mergeCell ref="Q5:S5"/>
    <mergeCell ref="I5:L5"/>
  </mergeCells>
  <printOptions/>
  <pageMargins left="0.5" right="0.5" top="0.5" bottom="0.5" header="0" footer="0"/>
  <pageSetup fitToHeight="1" fitToWidth="1" horizontalDpi="600" verticalDpi="600" orientation="landscape" scale="50"/>
  <headerFooter alignWithMargins="0">
    <oddHeader>&amp;R&amp;F, &amp;A:  Page &amp;P of &amp;N</oddHeader>
    <oddFooter>&amp;LConfidential Draft - &amp;T on &amp;D&amp;RCrescent Resources, Inc.</oddFooter>
  </headerFooter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1"/>
  <sheetViews>
    <sheetView workbookViewId="0" topLeftCell="A1">
      <selection activeCell="A1" sqref="A1"/>
    </sheetView>
  </sheetViews>
  <sheetFormatPr defaultColWidth="8.8515625" defaultRowHeight="12.75"/>
  <cols>
    <col min="1" max="3" width="10.28125" style="0" customWidth="1"/>
    <col min="4" max="7" width="11.7109375" style="0" customWidth="1"/>
    <col min="8" max="8" width="12.7109375" style="0" bestFit="1" customWidth="1"/>
    <col min="9" max="25" width="11.7109375" style="0" customWidth="1"/>
  </cols>
  <sheetData>
    <row r="1" ht="15">
      <c r="A1" s="2" t="s">
        <v>119</v>
      </c>
    </row>
    <row r="2" ht="15">
      <c r="A2" s="1" t="s">
        <v>88</v>
      </c>
    </row>
    <row r="5" spans="1:19" ht="12">
      <c r="A5" s="5" t="s">
        <v>8</v>
      </c>
      <c r="I5" s="54" t="s">
        <v>92</v>
      </c>
      <c r="J5" s="54"/>
      <c r="K5" s="54"/>
      <c r="L5" s="54"/>
      <c r="Q5" s="54" t="s">
        <v>74</v>
      </c>
      <c r="R5" s="54"/>
      <c r="S5" s="54"/>
    </row>
    <row r="6" spans="1:25" ht="12">
      <c r="A6" t="s">
        <v>89</v>
      </c>
      <c r="D6" s="3">
        <f>70376788*(1+$I$20)</f>
        <v>70376788</v>
      </c>
      <c r="I6" s="10" t="s">
        <v>39</v>
      </c>
      <c r="J6" s="10" t="s">
        <v>40</v>
      </c>
      <c r="K6" s="10" t="s">
        <v>41</v>
      </c>
      <c r="L6" s="10" t="s">
        <v>42</v>
      </c>
      <c r="Q6" s="10" t="s">
        <v>63</v>
      </c>
      <c r="R6" s="10" t="s">
        <v>65</v>
      </c>
      <c r="S6" s="10" t="s">
        <v>64</v>
      </c>
      <c r="V6" s="10"/>
      <c r="X6" s="10"/>
      <c r="Y6" s="10"/>
    </row>
    <row r="7" spans="1:25" ht="12">
      <c r="A7" t="s">
        <v>80</v>
      </c>
      <c r="D7" s="20">
        <v>1802388.1011725022</v>
      </c>
      <c r="F7" t="s">
        <v>36</v>
      </c>
      <c r="I7" s="4">
        <v>2815000</v>
      </c>
      <c r="J7" s="4">
        <v>100000</v>
      </c>
      <c r="K7" s="4">
        <f>SUM(Q10:S10)</f>
        <v>960000</v>
      </c>
      <c r="L7" s="4">
        <v>500000</v>
      </c>
      <c r="N7" t="s">
        <v>68</v>
      </c>
      <c r="Q7" s="4">
        <v>800</v>
      </c>
      <c r="R7" s="4">
        <v>0</v>
      </c>
      <c r="S7" s="4">
        <v>0</v>
      </c>
      <c r="X7" s="4"/>
      <c r="Y7" s="4"/>
    </row>
    <row r="8" spans="1:25" ht="12">
      <c r="A8" t="s">
        <v>7</v>
      </c>
      <c r="D8" s="3">
        <f>SUM(D6:D7)</f>
        <v>72179176.1011725</v>
      </c>
      <c r="F8" t="s">
        <v>37</v>
      </c>
      <c r="I8" s="16">
        <v>32.5</v>
      </c>
      <c r="J8" s="16">
        <v>30</v>
      </c>
      <c r="K8" s="16">
        <f>K9/K7</f>
        <v>33.333333333333336</v>
      </c>
      <c r="L8" s="16">
        <f>L9/L7</f>
        <v>31.25</v>
      </c>
      <c r="N8" t="s">
        <v>67</v>
      </c>
      <c r="Q8" s="3">
        <v>40000</v>
      </c>
      <c r="R8" s="3">
        <v>50000</v>
      </c>
      <c r="S8" s="3">
        <v>90000</v>
      </c>
      <c r="X8" s="3"/>
      <c r="Y8" s="3"/>
    </row>
    <row r="9" spans="1:25" ht="12">
      <c r="A9" t="s">
        <v>103</v>
      </c>
      <c r="C9" s="28">
        <v>0.015</v>
      </c>
      <c r="D9" s="20">
        <f>D8*C9</f>
        <v>1082687.6415175875</v>
      </c>
      <c r="F9" t="s">
        <v>94</v>
      </c>
      <c r="H9" s="3">
        <f>SUM(I9:L9)</f>
        <v>142112500</v>
      </c>
      <c r="I9" s="3">
        <f>I7*I8</f>
        <v>91487500</v>
      </c>
      <c r="J9" s="3">
        <f>J7*J8</f>
        <v>3000000</v>
      </c>
      <c r="K9" s="3">
        <f>SUM(Q9:S9)</f>
        <v>32000000</v>
      </c>
      <c r="L9" s="3">
        <f>L10*L11</f>
        <v>15625000</v>
      </c>
      <c r="N9" t="s">
        <v>94</v>
      </c>
      <c r="Q9" s="3">
        <f>Q7*Q8</f>
        <v>32000000</v>
      </c>
      <c r="R9" s="3">
        <f>R7*R8</f>
        <v>0</v>
      </c>
      <c r="S9" s="3">
        <f>S7*S8</f>
        <v>0</v>
      </c>
      <c r="X9" s="3"/>
      <c r="Y9" s="3"/>
    </row>
    <row r="10" spans="1:25" ht="12">
      <c r="A10" t="s">
        <v>96</v>
      </c>
      <c r="D10" s="3">
        <f>SUM(D8:D9)</f>
        <v>73261863.7426901</v>
      </c>
      <c r="F10" t="s">
        <v>66</v>
      </c>
      <c r="I10" s="17" t="s">
        <v>71</v>
      </c>
      <c r="J10" s="17" t="s">
        <v>71</v>
      </c>
      <c r="K10" s="4">
        <f>SUM(Q7:S7)</f>
        <v>800</v>
      </c>
      <c r="L10" s="4">
        <v>625</v>
      </c>
      <c r="N10" t="s">
        <v>36</v>
      </c>
      <c r="Q10" s="4">
        <v>960000</v>
      </c>
      <c r="R10" s="4">
        <v>0</v>
      </c>
      <c r="S10" s="4">
        <v>0</v>
      </c>
      <c r="Y10" s="4"/>
    </row>
    <row r="11" spans="6:25" ht="12">
      <c r="F11" t="s">
        <v>43</v>
      </c>
      <c r="I11" s="17" t="s">
        <v>71</v>
      </c>
      <c r="J11" s="17" t="s">
        <v>71</v>
      </c>
      <c r="K11" s="17">
        <f>K9/K10</f>
        <v>40000</v>
      </c>
      <c r="L11" s="17">
        <v>25000</v>
      </c>
      <c r="N11" t="s">
        <v>37</v>
      </c>
      <c r="Q11" s="16">
        <f>Q9/Q10</f>
        <v>33.333333333333336</v>
      </c>
      <c r="R11" s="16" t="e">
        <f>R9/R10</f>
        <v>#DIV/0!</v>
      </c>
      <c r="S11" s="16" t="e">
        <f>S9/S10</f>
        <v>#DIV/0!</v>
      </c>
      <c r="X11" s="4"/>
      <c r="Y11" s="4"/>
    </row>
    <row r="12" spans="1:25" ht="12">
      <c r="A12" t="s">
        <v>90</v>
      </c>
      <c r="D12" s="4">
        <f>SUM(I7:L7)</f>
        <v>4375000</v>
      </c>
      <c r="F12" t="s">
        <v>13</v>
      </c>
      <c r="I12" s="7">
        <v>2002</v>
      </c>
      <c r="J12" s="7">
        <v>2002</v>
      </c>
      <c r="K12" s="7">
        <v>2004</v>
      </c>
      <c r="L12" s="7">
        <v>2002</v>
      </c>
      <c r="N12" s="4" t="s">
        <v>69</v>
      </c>
      <c r="Q12" s="4">
        <f>Q10/Q7</f>
        <v>1200</v>
      </c>
      <c r="R12" s="4" t="e">
        <f>R10/R7</f>
        <v>#DIV/0!</v>
      </c>
      <c r="S12" s="4" t="e">
        <f>S10/S7</f>
        <v>#DIV/0!</v>
      </c>
      <c r="V12" s="7"/>
      <c r="W12" s="7"/>
      <c r="X12" s="16"/>
      <c r="Y12" s="16"/>
    </row>
    <row r="13" spans="1:25" ht="12">
      <c r="A13" t="s">
        <v>91</v>
      </c>
      <c r="D13" s="16">
        <f>D6/D12</f>
        <v>16.086122971428573</v>
      </c>
      <c r="F13" t="s">
        <v>12</v>
      </c>
      <c r="I13" s="4">
        <v>10</v>
      </c>
      <c r="J13" s="4">
        <v>10</v>
      </c>
      <c r="K13" s="4">
        <v>5</v>
      </c>
      <c r="L13" s="4">
        <v>1</v>
      </c>
      <c r="O13" s="3"/>
      <c r="V13" s="4"/>
      <c r="W13" s="4"/>
      <c r="X13" s="4"/>
      <c r="Y13" s="4"/>
    </row>
    <row r="14" spans="5:17" ht="12">
      <c r="E14" s="16"/>
      <c r="F14" t="s">
        <v>38</v>
      </c>
      <c r="I14" s="4">
        <f>I7/I13</f>
        <v>281500</v>
      </c>
      <c r="J14" s="4">
        <f>J7/J13</f>
        <v>10000</v>
      </c>
      <c r="K14" s="4">
        <f>K7/K13</f>
        <v>192000</v>
      </c>
      <c r="L14" s="4">
        <f>L7/L13</f>
        <v>500000</v>
      </c>
      <c r="N14" t="s">
        <v>70</v>
      </c>
      <c r="Q14" s="16" t="e">
        <f>((Q11*Q10)+(R11*R10)+(S11*S10))/(Q10+R10+S10)</f>
        <v>#DIV/0!</v>
      </c>
    </row>
    <row r="15" spans="1:18" ht="12">
      <c r="A15" t="s">
        <v>56</v>
      </c>
      <c r="D15" s="3">
        <v>558844</v>
      </c>
      <c r="F15" t="s">
        <v>93</v>
      </c>
      <c r="I15" s="3">
        <f>I9/I13</f>
        <v>9148750</v>
      </c>
      <c r="J15" s="3">
        <f>J9/J13</f>
        <v>300000</v>
      </c>
      <c r="K15" s="3">
        <f>K9/K13</f>
        <v>6400000</v>
      </c>
      <c r="L15" s="3">
        <f>L9/L13</f>
        <v>15625000</v>
      </c>
      <c r="N15" s="3" t="s">
        <v>72</v>
      </c>
      <c r="O15" s="3"/>
      <c r="P15" s="3"/>
      <c r="Q15" s="3">
        <f>((Q8*Q7)+(R8*R7)+(S8*S7))/(Q7+R7+S7)</f>
        <v>40000</v>
      </c>
      <c r="R15" s="3"/>
    </row>
    <row r="16" spans="1:17" ht="12">
      <c r="A16" t="s">
        <v>44</v>
      </c>
      <c r="D16" s="16">
        <f>D15/D12</f>
        <v>0.12773577142857143</v>
      </c>
      <c r="N16" s="3"/>
      <c r="O16" s="3"/>
      <c r="P16" s="3"/>
      <c r="Q16" s="3"/>
    </row>
    <row r="17" spans="1:12" ht="12">
      <c r="A17" t="s">
        <v>46</v>
      </c>
      <c r="D17" s="3">
        <v>5000</v>
      </c>
      <c r="F17" t="s">
        <v>58</v>
      </c>
      <c r="I17" s="3">
        <f>0*I14</f>
        <v>0</v>
      </c>
      <c r="J17" s="3">
        <f>0*J14</f>
        <v>0</v>
      </c>
      <c r="K17" s="3">
        <f>0*K14</f>
        <v>0</v>
      </c>
      <c r="L17" s="3">
        <f>0*L14</f>
        <v>0</v>
      </c>
    </row>
    <row r="18" spans="1:12" ht="12">
      <c r="A18" t="s">
        <v>45</v>
      </c>
      <c r="D18" s="16">
        <v>0</v>
      </c>
      <c r="F18" t="s">
        <v>57</v>
      </c>
      <c r="I18" s="3">
        <f>I17/I13</f>
        <v>0</v>
      </c>
      <c r="J18" s="3">
        <f>J17/J13</f>
        <v>0</v>
      </c>
      <c r="K18" s="3">
        <f>K17/K13</f>
        <v>0</v>
      </c>
      <c r="L18" s="3">
        <f>L17/L13</f>
        <v>0</v>
      </c>
    </row>
    <row r="20" spans="1:9" ht="12">
      <c r="A20" t="s">
        <v>99</v>
      </c>
      <c r="D20" s="3">
        <f>SUM(E119:T119)</f>
        <v>-9200000</v>
      </c>
      <c r="F20" t="s">
        <v>102</v>
      </c>
      <c r="I20" s="21">
        <f>Alexandria!I20</f>
        <v>0</v>
      </c>
    </row>
    <row r="21" spans="1:4" ht="12">
      <c r="A21" t="s">
        <v>11</v>
      </c>
      <c r="D21" s="6">
        <f>Alexandria!D22</f>
        <v>0.03</v>
      </c>
    </row>
    <row r="22" spans="1:4" ht="12">
      <c r="A22" t="s">
        <v>10</v>
      </c>
      <c r="D22" s="6">
        <v>0.05</v>
      </c>
    </row>
    <row r="23" ht="12" hidden="1"/>
    <row r="26" spans="1:20" ht="12">
      <c r="A26" s="8" t="s">
        <v>14</v>
      </c>
      <c r="B26" s="8"/>
      <c r="C26" s="8"/>
      <c r="D26" s="8"/>
      <c r="E26" s="8">
        <v>2001</v>
      </c>
      <c r="F26" s="9">
        <v>2002</v>
      </c>
      <c r="G26" s="8">
        <v>2003</v>
      </c>
      <c r="H26" s="8">
        <v>2004</v>
      </c>
      <c r="I26" s="9">
        <v>2005</v>
      </c>
      <c r="J26" s="8">
        <v>2006</v>
      </c>
      <c r="K26" s="8">
        <v>2007</v>
      </c>
      <c r="L26" s="9">
        <v>2008</v>
      </c>
      <c r="M26" s="8">
        <v>2009</v>
      </c>
      <c r="N26" s="8">
        <v>2010</v>
      </c>
      <c r="O26" s="9">
        <v>2011</v>
      </c>
      <c r="P26" s="8">
        <v>2012</v>
      </c>
      <c r="Q26" s="8">
        <v>2013</v>
      </c>
      <c r="R26" s="9">
        <v>2014</v>
      </c>
      <c r="S26" s="8">
        <v>2015</v>
      </c>
      <c r="T26" s="8">
        <v>2016</v>
      </c>
    </row>
    <row r="27" spans="1:20" ht="12">
      <c r="A27" t="s">
        <v>15</v>
      </c>
      <c r="E27">
        <v>0</v>
      </c>
      <c r="F27" s="7">
        <v>1</v>
      </c>
      <c r="G27" s="7">
        <v>2</v>
      </c>
      <c r="H27" s="7">
        <v>3</v>
      </c>
      <c r="I27" s="7">
        <v>4</v>
      </c>
      <c r="J27" s="7">
        <v>5</v>
      </c>
      <c r="K27" s="7">
        <v>6</v>
      </c>
      <c r="L27" s="7">
        <v>7</v>
      </c>
      <c r="M27" s="7">
        <v>8</v>
      </c>
      <c r="N27" s="7">
        <v>9</v>
      </c>
      <c r="O27" s="7">
        <v>10</v>
      </c>
      <c r="P27" s="7">
        <v>11</v>
      </c>
      <c r="Q27" s="7">
        <v>12</v>
      </c>
      <c r="R27" s="7">
        <v>13</v>
      </c>
      <c r="S27" s="7">
        <v>14</v>
      </c>
      <c r="T27" s="7">
        <v>15</v>
      </c>
    </row>
    <row r="29" ht="12">
      <c r="A29" s="5" t="s">
        <v>16</v>
      </c>
    </row>
    <row r="30" spans="1:20" ht="12">
      <c r="A30" s="12" t="s">
        <v>0</v>
      </c>
      <c r="E30" s="4">
        <v>0</v>
      </c>
      <c r="F30" s="4">
        <v>500000</v>
      </c>
      <c r="G30" s="4">
        <v>500000</v>
      </c>
      <c r="H30" s="4">
        <v>500000</v>
      </c>
      <c r="I30" s="4">
        <v>500000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</row>
    <row r="31" ht="12" hidden="1"/>
    <row r="32" spans="1:20" ht="12">
      <c r="A32" t="s">
        <v>17</v>
      </c>
      <c r="E32" s="4">
        <f aca="true" t="shared" si="0" ref="E32:T32">IF(E26&lt;$I$12,0,IF(E26&gt;=$I$12+$I$13,0,$I$15*(1+$D$21)^(E27-$E$27)))</f>
        <v>0</v>
      </c>
      <c r="F32" s="4">
        <f t="shared" si="0"/>
        <v>9423212.5</v>
      </c>
      <c r="G32" s="4">
        <f t="shared" si="0"/>
        <v>9705908.875</v>
      </c>
      <c r="H32" s="4">
        <f t="shared" si="0"/>
        <v>9997086.14125</v>
      </c>
      <c r="I32" s="4">
        <f t="shared" si="0"/>
        <v>10296998.725487499</v>
      </c>
      <c r="J32" s="4">
        <f t="shared" si="0"/>
        <v>10605908.687252123</v>
      </c>
      <c r="K32" s="4">
        <f t="shared" si="0"/>
        <v>10924085.947869688</v>
      </c>
      <c r="L32" s="4">
        <f t="shared" si="0"/>
        <v>11251808.52630578</v>
      </c>
      <c r="M32" s="4">
        <f t="shared" si="0"/>
        <v>11589362.782094952</v>
      </c>
      <c r="N32" s="4">
        <f t="shared" si="0"/>
        <v>11937043.6655578</v>
      </c>
      <c r="O32" s="4">
        <f t="shared" si="0"/>
        <v>12295154.975524534</v>
      </c>
      <c r="P32" s="4">
        <f t="shared" si="0"/>
        <v>0</v>
      </c>
      <c r="Q32" s="4">
        <f t="shared" si="0"/>
        <v>0</v>
      </c>
      <c r="R32" s="4">
        <f t="shared" si="0"/>
        <v>0</v>
      </c>
      <c r="S32" s="4">
        <f t="shared" si="0"/>
        <v>0</v>
      </c>
      <c r="T32" s="4">
        <f t="shared" si="0"/>
        <v>0</v>
      </c>
    </row>
    <row r="33" spans="1:20" ht="12">
      <c r="A33" t="s">
        <v>18</v>
      </c>
      <c r="E33" s="4">
        <f aca="true" t="shared" si="1" ref="E33:T33">IF(E26&lt;$J$12,0,IF(E26&gt;=$J$12+$J$13,0,$J$15*(1+$D$21)^(E27-$E$27)))</f>
        <v>0</v>
      </c>
      <c r="F33" s="4">
        <f t="shared" si="1"/>
        <v>309000</v>
      </c>
      <c r="G33" s="4">
        <f t="shared" si="1"/>
        <v>318270</v>
      </c>
      <c r="H33" s="4">
        <f t="shared" si="1"/>
        <v>327818.1</v>
      </c>
      <c r="I33" s="4">
        <f t="shared" si="1"/>
        <v>337652.643</v>
      </c>
      <c r="J33" s="4">
        <f t="shared" si="1"/>
        <v>347782.22228999995</v>
      </c>
      <c r="K33" s="4">
        <f t="shared" si="1"/>
        <v>358215.6889587</v>
      </c>
      <c r="L33" s="4">
        <f t="shared" si="1"/>
        <v>368962.159627461</v>
      </c>
      <c r="M33" s="4">
        <f t="shared" si="1"/>
        <v>380031.02441628475</v>
      </c>
      <c r="N33" s="4">
        <f t="shared" si="1"/>
        <v>391431.9551487733</v>
      </c>
      <c r="O33" s="4">
        <f t="shared" si="1"/>
        <v>403174.91380323656</v>
      </c>
      <c r="P33" s="4">
        <f t="shared" si="1"/>
        <v>0</v>
      </c>
      <c r="Q33" s="4">
        <f t="shared" si="1"/>
        <v>0</v>
      </c>
      <c r="R33" s="4">
        <f t="shared" si="1"/>
        <v>0</v>
      </c>
      <c r="S33" s="4">
        <f t="shared" si="1"/>
        <v>0</v>
      </c>
      <c r="T33" s="4">
        <f t="shared" si="1"/>
        <v>0</v>
      </c>
    </row>
    <row r="34" spans="1:20" ht="12">
      <c r="A34" t="s">
        <v>19</v>
      </c>
      <c r="E34" s="4">
        <f aca="true" t="shared" si="2" ref="E34:T34">IF(E26&lt;$K$12,0,IF(E26&gt;=$K$12+$K$13,0,$K$15*(1+$D$21)^(E27-$E$27)))</f>
        <v>0</v>
      </c>
      <c r="F34" s="4">
        <f t="shared" si="2"/>
        <v>0</v>
      </c>
      <c r="G34" s="4">
        <f t="shared" si="2"/>
        <v>0</v>
      </c>
      <c r="H34" s="4">
        <f t="shared" si="2"/>
        <v>6993452.8</v>
      </c>
      <c r="I34" s="4">
        <f t="shared" si="2"/>
        <v>7203256.384</v>
      </c>
      <c r="J34" s="4">
        <f t="shared" si="2"/>
        <v>7419354.075519999</v>
      </c>
      <c r="K34" s="4">
        <f t="shared" si="2"/>
        <v>7641934.697785599</v>
      </c>
      <c r="L34" s="4">
        <f t="shared" si="2"/>
        <v>7871192.738719168</v>
      </c>
      <c r="M34" s="4">
        <f t="shared" si="2"/>
        <v>0</v>
      </c>
      <c r="N34" s="4">
        <f t="shared" si="2"/>
        <v>0</v>
      </c>
      <c r="O34" s="4">
        <f t="shared" si="2"/>
        <v>0</v>
      </c>
      <c r="P34" s="4">
        <f t="shared" si="2"/>
        <v>0</v>
      </c>
      <c r="Q34" s="4">
        <f t="shared" si="2"/>
        <v>0</v>
      </c>
      <c r="R34" s="4">
        <f t="shared" si="2"/>
        <v>0</v>
      </c>
      <c r="S34" s="4">
        <f t="shared" si="2"/>
        <v>0</v>
      </c>
      <c r="T34" s="4">
        <f t="shared" si="2"/>
        <v>0</v>
      </c>
    </row>
    <row r="35" spans="1:20" ht="12">
      <c r="A35" t="s">
        <v>20</v>
      </c>
      <c r="E35" s="11">
        <f aca="true" t="shared" si="3" ref="E35:T35">IF(E26&lt;$L$12,0,IF(E26&gt;=$L$12+$L$13,0,$L$15*(1+$D$21)^(E27-$E$27)))</f>
        <v>0</v>
      </c>
      <c r="F35" s="11">
        <f t="shared" si="3"/>
        <v>16093750</v>
      </c>
      <c r="G35" s="11">
        <f t="shared" si="3"/>
        <v>0</v>
      </c>
      <c r="H35" s="11">
        <f t="shared" si="3"/>
        <v>0</v>
      </c>
      <c r="I35" s="11">
        <f t="shared" si="3"/>
        <v>0</v>
      </c>
      <c r="J35" s="11">
        <f t="shared" si="3"/>
        <v>0</v>
      </c>
      <c r="K35" s="11">
        <f t="shared" si="3"/>
        <v>0</v>
      </c>
      <c r="L35" s="11">
        <f t="shared" si="3"/>
        <v>0</v>
      </c>
      <c r="M35" s="11">
        <f t="shared" si="3"/>
        <v>0</v>
      </c>
      <c r="N35" s="11">
        <f t="shared" si="3"/>
        <v>0</v>
      </c>
      <c r="O35" s="11">
        <f t="shared" si="3"/>
        <v>0</v>
      </c>
      <c r="P35" s="11">
        <f t="shared" si="3"/>
        <v>0</v>
      </c>
      <c r="Q35" s="11">
        <f t="shared" si="3"/>
        <v>0</v>
      </c>
      <c r="R35" s="11">
        <f t="shared" si="3"/>
        <v>0</v>
      </c>
      <c r="S35" s="11">
        <f t="shared" si="3"/>
        <v>0</v>
      </c>
      <c r="T35" s="11">
        <f t="shared" si="3"/>
        <v>0</v>
      </c>
    </row>
    <row r="36" spans="1:20" ht="12">
      <c r="A36" t="s">
        <v>21</v>
      </c>
      <c r="E36" s="4">
        <f aca="true" t="shared" si="4" ref="E36:T36">SUM(E30:E35)</f>
        <v>0</v>
      </c>
      <c r="F36" s="4">
        <f t="shared" si="4"/>
        <v>26325962.5</v>
      </c>
      <c r="G36" s="4">
        <f t="shared" si="4"/>
        <v>10524178.875</v>
      </c>
      <c r="H36" s="4">
        <f t="shared" si="4"/>
        <v>17818357.041249998</v>
      </c>
      <c r="I36" s="4">
        <f t="shared" si="4"/>
        <v>18337907.752487496</v>
      </c>
      <c r="J36" s="4">
        <f t="shared" si="4"/>
        <v>18373044.985062122</v>
      </c>
      <c r="K36" s="4">
        <f t="shared" si="4"/>
        <v>18924236.334613986</v>
      </c>
      <c r="L36" s="4">
        <f t="shared" si="4"/>
        <v>19491963.42465241</v>
      </c>
      <c r="M36" s="4">
        <f t="shared" si="4"/>
        <v>11969393.806511236</v>
      </c>
      <c r="N36" s="4">
        <f t="shared" si="4"/>
        <v>12328475.620706573</v>
      </c>
      <c r="O36" s="4">
        <f t="shared" si="4"/>
        <v>12698329.88932777</v>
      </c>
      <c r="P36" s="4">
        <f t="shared" si="4"/>
        <v>0</v>
      </c>
      <c r="Q36" s="4">
        <f t="shared" si="4"/>
        <v>0</v>
      </c>
      <c r="R36" s="4">
        <f t="shared" si="4"/>
        <v>0</v>
      </c>
      <c r="S36" s="4">
        <f t="shared" si="4"/>
        <v>0</v>
      </c>
      <c r="T36" s="4">
        <f t="shared" si="4"/>
        <v>0</v>
      </c>
    </row>
    <row r="37" spans="1:20" ht="12">
      <c r="A37" t="s">
        <v>10</v>
      </c>
      <c r="E37" s="11">
        <f aca="true" t="shared" si="5" ref="E37:T37">-(SUM(E32:E35)*$D$22)</f>
        <v>0</v>
      </c>
      <c r="F37" s="11">
        <f t="shared" si="5"/>
        <v>-1291298.125</v>
      </c>
      <c r="G37" s="11">
        <f t="shared" si="5"/>
        <v>-501208.94375000003</v>
      </c>
      <c r="H37" s="11">
        <f t="shared" si="5"/>
        <v>-865917.8520625</v>
      </c>
      <c r="I37" s="11">
        <f t="shared" si="5"/>
        <v>-891895.3876243748</v>
      </c>
      <c r="J37" s="11">
        <f t="shared" si="5"/>
        <v>-918652.2492531062</v>
      </c>
      <c r="K37" s="11">
        <f t="shared" si="5"/>
        <v>-946211.8167306994</v>
      </c>
      <c r="L37" s="11">
        <f t="shared" si="5"/>
        <v>-974598.1712326205</v>
      </c>
      <c r="M37" s="11">
        <f t="shared" si="5"/>
        <v>-598469.6903255618</v>
      </c>
      <c r="N37" s="11">
        <f t="shared" si="5"/>
        <v>-616423.7810353286</v>
      </c>
      <c r="O37" s="11">
        <f t="shared" si="5"/>
        <v>-634916.4944663886</v>
      </c>
      <c r="P37" s="11">
        <f t="shared" si="5"/>
        <v>0</v>
      </c>
      <c r="Q37" s="11">
        <f t="shared" si="5"/>
        <v>0</v>
      </c>
      <c r="R37" s="11">
        <f t="shared" si="5"/>
        <v>0</v>
      </c>
      <c r="S37" s="11">
        <f t="shared" si="5"/>
        <v>0</v>
      </c>
      <c r="T37" s="11">
        <f t="shared" si="5"/>
        <v>0</v>
      </c>
    </row>
    <row r="38" spans="1:20" ht="12">
      <c r="A38" t="s">
        <v>27</v>
      </c>
      <c r="E38" s="4">
        <f>SUM(E36:E37)</f>
        <v>0</v>
      </c>
      <c r="F38" s="4">
        <f aca="true" t="shared" si="6" ref="F38:T38">SUM(F36:F37)</f>
        <v>25034664.375</v>
      </c>
      <c r="G38" s="4">
        <f t="shared" si="6"/>
        <v>10022969.93125</v>
      </c>
      <c r="H38" s="4">
        <f t="shared" si="6"/>
        <v>16952439.189187497</v>
      </c>
      <c r="I38" s="4">
        <f t="shared" si="6"/>
        <v>17446012.36486312</v>
      </c>
      <c r="J38" s="4">
        <f t="shared" si="6"/>
        <v>17454392.735809017</v>
      </c>
      <c r="K38" s="4">
        <f t="shared" si="6"/>
        <v>17978024.517883286</v>
      </c>
      <c r="L38" s="4">
        <f t="shared" si="6"/>
        <v>18517365.253419787</v>
      </c>
      <c r="M38" s="4">
        <f t="shared" si="6"/>
        <v>11370924.116185674</v>
      </c>
      <c r="N38" s="4">
        <f t="shared" si="6"/>
        <v>11712051.839671245</v>
      </c>
      <c r="O38" s="4">
        <f t="shared" si="6"/>
        <v>12063413.394861382</v>
      </c>
      <c r="P38" s="4">
        <f t="shared" si="6"/>
        <v>0</v>
      </c>
      <c r="Q38" s="4">
        <f t="shared" si="6"/>
        <v>0</v>
      </c>
      <c r="R38" s="4">
        <f t="shared" si="6"/>
        <v>0</v>
      </c>
      <c r="S38" s="4">
        <f t="shared" si="6"/>
        <v>0</v>
      </c>
      <c r="T38" s="4">
        <f t="shared" si="6"/>
        <v>0</v>
      </c>
    </row>
    <row r="40" ht="12">
      <c r="A40" s="5" t="s">
        <v>23</v>
      </c>
    </row>
    <row r="41" spans="1:20" ht="12">
      <c r="A41" t="s">
        <v>24</v>
      </c>
      <c r="E41" s="4">
        <f aca="true" t="shared" si="7" ref="E41:T41">-(E114*$D$16)*((1+$D$21)^(E27-$E$27))</f>
        <v>0</v>
      </c>
      <c r="F41" s="4">
        <f t="shared" si="7"/>
        <v>-575609.3200000001</v>
      </c>
      <c r="G41" s="4">
        <f t="shared" si="7"/>
        <v>-485617.5721523657</v>
      </c>
      <c r="H41" s="4">
        <f t="shared" si="7"/>
        <v>-459498.43419878767</v>
      </c>
      <c r="I41" s="4">
        <f t="shared" si="7"/>
        <v>-403771.6868228171</v>
      </c>
      <c r="J41" s="4">
        <f t="shared" si="7"/>
        <v>-344287.78601350944</v>
      </c>
      <c r="K41" s="4">
        <f t="shared" si="7"/>
        <v>-280871.45663750276</v>
      </c>
      <c r="L41" s="4">
        <f t="shared" si="7"/>
        <v>-213340.28849152356</v>
      </c>
      <c r="M41" s="4">
        <f t="shared" si="7"/>
        <v>-141504.46594581183</v>
      </c>
      <c r="N41" s="4">
        <f t="shared" si="7"/>
        <v>-97166.39994945745</v>
      </c>
      <c r="O41" s="4">
        <f t="shared" si="7"/>
        <v>-50040.695973970585</v>
      </c>
      <c r="P41" s="4">
        <f t="shared" si="7"/>
        <v>0</v>
      </c>
      <c r="Q41" s="4">
        <f t="shared" si="7"/>
        <v>0</v>
      </c>
      <c r="R41" s="4">
        <f t="shared" si="7"/>
        <v>0</v>
      </c>
      <c r="S41" s="4">
        <f t="shared" si="7"/>
        <v>0</v>
      </c>
      <c r="T41" s="4">
        <f t="shared" si="7"/>
        <v>0</v>
      </c>
    </row>
    <row r="42" spans="1:20" ht="12">
      <c r="A42" t="s">
        <v>9</v>
      </c>
      <c r="E42" s="4">
        <f aca="true" t="shared" si="8" ref="E42:T42">IF(E114=0,0,-$D$17)</f>
        <v>0</v>
      </c>
      <c r="F42" s="4">
        <f t="shared" si="8"/>
        <v>-5000</v>
      </c>
      <c r="G42" s="4">
        <f t="shared" si="8"/>
        <v>-5000</v>
      </c>
      <c r="H42" s="4">
        <f t="shared" si="8"/>
        <v>-5000</v>
      </c>
      <c r="I42" s="4">
        <f t="shared" si="8"/>
        <v>-5000</v>
      </c>
      <c r="J42" s="4">
        <f t="shared" si="8"/>
        <v>-5000</v>
      </c>
      <c r="K42" s="4">
        <f t="shared" si="8"/>
        <v>-5000</v>
      </c>
      <c r="L42" s="4">
        <f t="shared" si="8"/>
        <v>-5000</v>
      </c>
      <c r="M42" s="4">
        <f t="shared" si="8"/>
        <v>-5000</v>
      </c>
      <c r="N42" s="4">
        <f t="shared" si="8"/>
        <v>-5000</v>
      </c>
      <c r="O42" s="4">
        <f t="shared" si="8"/>
        <v>-5000</v>
      </c>
      <c r="P42" s="4">
        <f t="shared" si="8"/>
        <v>0</v>
      </c>
      <c r="Q42" s="4">
        <f t="shared" si="8"/>
        <v>0</v>
      </c>
      <c r="R42" s="4">
        <f t="shared" si="8"/>
        <v>0</v>
      </c>
      <c r="S42" s="4">
        <f t="shared" si="8"/>
        <v>0</v>
      </c>
      <c r="T42" s="4">
        <f t="shared" si="8"/>
        <v>0</v>
      </c>
    </row>
    <row r="43" spans="1:20" ht="12">
      <c r="A43" t="s">
        <v>25</v>
      </c>
      <c r="E43" s="11">
        <f aca="true" t="shared" si="9" ref="E43:T43">-(E114*$D$18)*((1+$D$21)^(E27-$E$27))</f>
        <v>0</v>
      </c>
      <c r="F43" s="11">
        <f t="shared" si="9"/>
        <v>0</v>
      </c>
      <c r="G43" s="11">
        <f t="shared" si="9"/>
        <v>0</v>
      </c>
      <c r="H43" s="11">
        <f t="shared" si="9"/>
        <v>0</v>
      </c>
      <c r="I43" s="11">
        <f t="shared" si="9"/>
        <v>0</v>
      </c>
      <c r="J43" s="11">
        <f t="shared" si="9"/>
        <v>0</v>
      </c>
      <c r="K43" s="11">
        <f t="shared" si="9"/>
        <v>0</v>
      </c>
      <c r="L43" s="11">
        <f t="shared" si="9"/>
        <v>0</v>
      </c>
      <c r="M43" s="11">
        <f t="shared" si="9"/>
        <v>0</v>
      </c>
      <c r="N43" s="11">
        <f t="shared" si="9"/>
        <v>0</v>
      </c>
      <c r="O43" s="11">
        <f t="shared" si="9"/>
        <v>0</v>
      </c>
      <c r="P43" s="11">
        <f t="shared" si="9"/>
        <v>0</v>
      </c>
      <c r="Q43" s="11">
        <f t="shared" si="9"/>
        <v>0</v>
      </c>
      <c r="R43" s="11">
        <f t="shared" si="9"/>
        <v>0</v>
      </c>
      <c r="S43" s="11">
        <f t="shared" si="9"/>
        <v>0</v>
      </c>
      <c r="T43" s="11">
        <f t="shared" si="9"/>
        <v>0</v>
      </c>
    </row>
    <row r="44" spans="1:20" ht="12">
      <c r="A44" t="s">
        <v>26</v>
      </c>
      <c r="E44" s="4">
        <f>SUM(E41:E43)</f>
        <v>0</v>
      </c>
      <c r="F44" s="4">
        <f aca="true" t="shared" si="10" ref="F44:T44">SUM(F41:F43)</f>
        <v>-580609.3200000001</v>
      </c>
      <c r="G44" s="4">
        <f t="shared" si="10"/>
        <v>-490617.5721523657</v>
      </c>
      <c r="H44" s="4">
        <f t="shared" si="10"/>
        <v>-464498.43419878767</v>
      </c>
      <c r="I44" s="4">
        <f t="shared" si="10"/>
        <v>-408771.6868228171</v>
      </c>
      <c r="J44" s="4">
        <f t="shared" si="10"/>
        <v>-349287.78601350944</v>
      </c>
      <c r="K44" s="4">
        <f t="shared" si="10"/>
        <v>-285871.45663750276</v>
      </c>
      <c r="L44" s="4">
        <f t="shared" si="10"/>
        <v>-218340.28849152356</v>
      </c>
      <c r="M44" s="4">
        <f t="shared" si="10"/>
        <v>-146504.46594581183</v>
      </c>
      <c r="N44" s="4">
        <f t="shared" si="10"/>
        <v>-102166.39994945745</v>
      </c>
      <c r="O44" s="4">
        <f t="shared" si="10"/>
        <v>-55040.695973970585</v>
      </c>
      <c r="P44" s="4">
        <f t="shared" si="10"/>
        <v>0</v>
      </c>
      <c r="Q44" s="4">
        <f t="shared" si="10"/>
        <v>0</v>
      </c>
      <c r="R44" s="4">
        <f t="shared" si="10"/>
        <v>0</v>
      </c>
      <c r="S44" s="4">
        <f t="shared" si="10"/>
        <v>0</v>
      </c>
      <c r="T44" s="4">
        <f t="shared" si="10"/>
        <v>0</v>
      </c>
    </row>
    <row r="46" ht="12">
      <c r="A46" s="5" t="s">
        <v>28</v>
      </c>
    </row>
    <row r="47" spans="1:20" ht="12">
      <c r="A47" t="s">
        <v>7</v>
      </c>
      <c r="E47" s="4">
        <f>-D6</f>
        <v>-70376788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</row>
    <row r="48" spans="1:20" ht="12">
      <c r="A48" t="s">
        <v>80</v>
      </c>
      <c r="E48" s="4">
        <f>-D7</f>
        <v>-1802388.1011725022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</row>
    <row r="49" spans="5:20" ht="12" hidden="1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">
      <c r="A50" t="s">
        <v>104</v>
      </c>
      <c r="E50" s="4">
        <f>-D9</f>
        <v>-1082687.6415175875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</row>
    <row r="51" spans="1:20" ht="12">
      <c r="A51" s="12" t="s">
        <v>22</v>
      </c>
      <c r="E51" s="4">
        <f>E121</f>
        <v>0</v>
      </c>
      <c r="F51" s="4">
        <f aca="true" t="shared" si="11" ref="F51:T51">F121</f>
        <v>-6386000</v>
      </c>
      <c r="G51" s="4">
        <f t="shared" si="11"/>
        <v>-2758340</v>
      </c>
      <c r="H51" s="4">
        <f t="shared" si="11"/>
        <v>-437090.8</v>
      </c>
      <c r="I51" s="4">
        <f t="shared" si="11"/>
        <v>0</v>
      </c>
      <c r="J51" s="4">
        <f t="shared" si="11"/>
        <v>0</v>
      </c>
      <c r="K51" s="4">
        <f t="shared" si="11"/>
        <v>0</v>
      </c>
      <c r="L51" s="4">
        <f t="shared" si="11"/>
        <v>0</v>
      </c>
      <c r="M51" s="4">
        <f t="shared" si="11"/>
        <v>0</v>
      </c>
      <c r="N51" s="4">
        <f t="shared" si="11"/>
        <v>0</v>
      </c>
      <c r="O51" s="4">
        <f t="shared" si="11"/>
        <v>0</v>
      </c>
      <c r="P51" s="4">
        <f t="shared" si="11"/>
        <v>0</v>
      </c>
      <c r="Q51" s="4">
        <f t="shared" si="11"/>
        <v>0</v>
      </c>
      <c r="R51" s="4">
        <f t="shared" si="11"/>
        <v>0</v>
      </c>
      <c r="S51" s="4">
        <f t="shared" si="11"/>
        <v>0</v>
      </c>
      <c r="T51" s="4">
        <f t="shared" si="11"/>
        <v>0</v>
      </c>
    </row>
    <row r="52" spans="1:20" ht="12">
      <c r="A52" t="s">
        <v>59</v>
      </c>
      <c r="E52" s="4">
        <f aca="true" t="shared" si="12" ref="E52:T52">-IF(E26&lt;$I$12,0,IF(E26&gt;=$I$12+$I$13,0,$I$18*(1+$D$21)^(E27-$E$27)))</f>
        <v>0</v>
      </c>
      <c r="F52" s="4">
        <f t="shared" si="12"/>
        <v>0</v>
      </c>
      <c r="G52" s="4">
        <f t="shared" si="12"/>
        <v>0</v>
      </c>
      <c r="H52" s="4">
        <f t="shared" si="12"/>
        <v>0</v>
      </c>
      <c r="I52" s="4">
        <f t="shared" si="12"/>
        <v>0</v>
      </c>
      <c r="J52" s="4">
        <f t="shared" si="12"/>
        <v>0</v>
      </c>
      <c r="K52" s="4">
        <f t="shared" si="12"/>
        <v>0</v>
      </c>
      <c r="L52" s="4">
        <f t="shared" si="12"/>
        <v>0</v>
      </c>
      <c r="M52" s="4">
        <f t="shared" si="12"/>
        <v>0</v>
      </c>
      <c r="N52" s="4">
        <f t="shared" si="12"/>
        <v>0</v>
      </c>
      <c r="O52" s="4">
        <f t="shared" si="12"/>
        <v>0</v>
      </c>
      <c r="P52" s="4">
        <f t="shared" si="12"/>
        <v>0</v>
      </c>
      <c r="Q52" s="4">
        <f t="shared" si="12"/>
        <v>0</v>
      </c>
      <c r="R52" s="4">
        <f t="shared" si="12"/>
        <v>0</v>
      </c>
      <c r="S52" s="4">
        <f t="shared" si="12"/>
        <v>0</v>
      </c>
      <c r="T52" s="4">
        <f t="shared" si="12"/>
        <v>0</v>
      </c>
    </row>
    <row r="53" spans="1:20" ht="12">
      <c r="A53" t="s">
        <v>60</v>
      </c>
      <c r="E53" s="4">
        <f aca="true" t="shared" si="13" ref="E53:T53">-IF(E26&lt;$J$12,0,IF(E26&gt;=$J$12+$J$13,0,$J$18*(1+$D$21)^(E27-$E$27)))</f>
        <v>0</v>
      </c>
      <c r="F53" s="4">
        <f t="shared" si="13"/>
        <v>0</v>
      </c>
      <c r="G53" s="4">
        <f t="shared" si="13"/>
        <v>0</v>
      </c>
      <c r="H53" s="4">
        <f t="shared" si="13"/>
        <v>0</v>
      </c>
      <c r="I53" s="4">
        <f t="shared" si="13"/>
        <v>0</v>
      </c>
      <c r="J53" s="4">
        <f t="shared" si="13"/>
        <v>0</v>
      </c>
      <c r="K53" s="4">
        <f t="shared" si="13"/>
        <v>0</v>
      </c>
      <c r="L53" s="4">
        <f t="shared" si="13"/>
        <v>0</v>
      </c>
      <c r="M53" s="4">
        <f t="shared" si="13"/>
        <v>0</v>
      </c>
      <c r="N53" s="4">
        <f t="shared" si="13"/>
        <v>0</v>
      </c>
      <c r="O53" s="4">
        <f t="shared" si="13"/>
        <v>0</v>
      </c>
      <c r="P53" s="4">
        <f t="shared" si="13"/>
        <v>0</v>
      </c>
      <c r="Q53" s="4">
        <f t="shared" si="13"/>
        <v>0</v>
      </c>
      <c r="R53" s="4">
        <f t="shared" si="13"/>
        <v>0</v>
      </c>
      <c r="S53" s="4">
        <f t="shared" si="13"/>
        <v>0</v>
      </c>
      <c r="T53" s="4">
        <f t="shared" si="13"/>
        <v>0</v>
      </c>
    </row>
    <row r="54" spans="1:20" ht="12">
      <c r="A54" t="s">
        <v>61</v>
      </c>
      <c r="E54" s="4">
        <f aca="true" t="shared" si="14" ref="E54:T54">-IF(E26&lt;$K$12,0,IF(E26&gt;=$K$12+$K$13,0,$K$18*(1+$D$21)^(E27-$E$27)))</f>
        <v>0</v>
      </c>
      <c r="F54" s="4">
        <f t="shared" si="14"/>
        <v>0</v>
      </c>
      <c r="G54" s="4">
        <f t="shared" si="14"/>
        <v>0</v>
      </c>
      <c r="H54" s="4">
        <f t="shared" si="14"/>
        <v>0</v>
      </c>
      <c r="I54" s="4">
        <f t="shared" si="14"/>
        <v>0</v>
      </c>
      <c r="J54" s="4">
        <f t="shared" si="14"/>
        <v>0</v>
      </c>
      <c r="K54" s="4">
        <f t="shared" si="14"/>
        <v>0</v>
      </c>
      <c r="L54" s="4">
        <f t="shared" si="14"/>
        <v>0</v>
      </c>
      <c r="M54" s="4">
        <f t="shared" si="14"/>
        <v>0</v>
      </c>
      <c r="N54" s="4">
        <f t="shared" si="14"/>
        <v>0</v>
      </c>
      <c r="O54" s="4">
        <f t="shared" si="14"/>
        <v>0</v>
      </c>
      <c r="P54" s="4">
        <f t="shared" si="14"/>
        <v>0</v>
      </c>
      <c r="Q54" s="4">
        <f t="shared" si="14"/>
        <v>0</v>
      </c>
      <c r="R54" s="4">
        <f t="shared" si="14"/>
        <v>0</v>
      </c>
      <c r="S54" s="4">
        <f t="shared" si="14"/>
        <v>0</v>
      </c>
      <c r="T54" s="4">
        <f t="shared" si="14"/>
        <v>0</v>
      </c>
    </row>
    <row r="55" spans="1:20" ht="12">
      <c r="A55" t="s">
        <v>62</v>
      </c>
      <c r="E55" s="11">
        <f aca="true" t="shared" si="15" ref="E55:T55">-IF(E26&lt;$L$12,0,IF(E26&gt;=$L$12+$L$13,0,$L$18*(1+$D$21)^(E27-$E$27)))</f>
        <v>0</v>
      </c>
      <c r="F55" s="11">
        <f t="shared" si="15"/>
        <v>0</v>
      </c>
      <c r="G55" s="11">
        <f t="shared" si="15"/>
        <v>0</v>
      </c>
      <c r="H55" s="11">
        <f t="shared" si="15"/>
        <v>0</v>
      </c>
      <c r="I55" s="11">
        <f t="shared" si="15"/>
        <v>0</v>
      </c>
      <c r="J55" s="11">
        <f t="shared" si="15"/>
        <v>0</v>
      </c>
      <c r="K55" s="11">
        <f t="shared" si="15"/>
        <v>0</v>
      </c>
      <c r="L55" s="11">
        <f t="shared" si="15"/>
        <v>0</v>
      </c>
      <c r="M55" s="11">
        <f t="shared" si="15"/>
        <v>0</v>
      </c>
      <c r="N55" s="11">
        <f t="shared" si="15"/>
        <v>0</v>
      </c>
      <c r="O55" s="11">
        <f t="shared" si="15"/>
        <v>0</v>
      </c>
      <c r="P55" s="11">
        <f t="shared" si="15"/>
        <v>0</v>
      </c>
      <c r="Q55" s="11">
        <f t="shared" si="15"/>
        <v>0</v>
      </c>
      <c r="R55" s="11">
        <f t="shared" si="15"/>
        <v>0</v>
      </c>
      <c r="S55" s="11">
        <f t="shared" si="15"/>
        <v>0</v>
      </c>
      <c r="T55" s="11">
        <f t="shared" si="15"/>
        <v>0</v>
      </c>
    </row>
    <row r="56" spans="1:20" ht="12">
      <c r="A56" t="s">
        <v>29</v>
      </c>
      <c r="E56" s="4">
        <f>SUM(E47:E55)</f>
        <v>-73261863.7426901</v>
      </c>
      <c r="F56" s="4">
        <f>SUM(F47:F55)</f>
        <v>-6386000</v>
      </c>
      <c r="G56" s="4">
        <f>SUM(G47:G55)</f>
        <v>-2758340</v>
      </c>
      <c r="H56" s="4">
        <f>SUM(H47:H55)</f>
        <v>-437090.8</v>
      </c>
      <c r="I56" s="4">
        <f>SUM(I47:I55)</f>
        <v>0</v>
      </c>
      <c r="J56" s="4">
        <f aca="true" t="shared" si="16" ref="J56:S56">SUM(J47:J55)</f>
        <v>0</v>
      </c>
      <c r="K56" s="4">
        <f t="shared" si="16"/>
        <v>0</v>
      </c>
      <c r="L56" s="4">
        <f t="shared" si="16"/>
        <v>0</v>
      </c>
      <c r="M56" s="4">
        <f t="shared" si="16"/>
        <v>0</v>
      </c>
      <c r="N56" s="4">
        <f t="shared" si="16"/>
        <v>0</v>
      </c>
      <c r="O56" s="4">
        <f t="shared" si="16"/>
        <v>0</v>
      </c>
      <c r="P56" s="4">
        <f t="shared" si="16"/>
        <v>0</v>
      </c>
      <c r="Q56" s="4">
        <f t="shared" si="16"/>
        <v>0</v>
      </c>
      <c r="R56" s="4">
        <f t="shared" si="16"/>
        <v>0</v>
      </c>
      <c r="S56" s="4">
        <f t="shared" si="16"/>
        <v>0</v>
      </c>
      <c r="T56" s="4">
        <f>SUM(T47:T55)</f>
        <v>0</v>
      </c>
    </row>
    <row r="58" ht="12">
      <c r="A58" s="5" t="s">
        <v>31</v>
      </c>
    </row>
    <row r="59" spans="1:20" ht="12">
      <c r="A59" t="s">
        <v>27</v>
      </c>
      <c r="E59" s="4">
        <f>E38</f>
        <v>0</v>
      </c>
      <c r="F59" s="4">
        <f aca="true" t="shared" si="17" ref="F59:T59">F38</f>
        <v>25034664.375</v>
      </c>
      <c r="G59" s="4">
        <f t="shared" si="17"/>
        <v>10022969.93125</v>
      </c>
      <c r="H59" s="4">
        <f t="shared" si="17"/>
        <v>16952439.189187497</v>
      </c>
      <c r="I59" s="4">
        <f t="shared" si="17"/>
        <v>17446012.36486312</v>
      </c>
      <c r="J59" s="4">
        <f t="shared" si="17"/>
        <v>17454392.735809017</v>
      </c>
      <c r="K59" s="4">
        <f t="shared" si="17"/>
        <v>17978024.517883286</v>
      </c>
      <c r="L59" s="4">
        <f t="shared" si="17"/>
        <v>18517365.253419787</v>
      </c>
      <c r="M59" s="4">
        <f t="shared" si="17"/>
        <v>11370924.116185674</v>
      </c>
      <c r="N59" s="4">
        <f t="shared" si="17"/>
        <v>11712051.839671245</v>
      </c>
      <c r="O59" s="4">
        <f t="shared" si="17"/>
        <v>12063413.394861382</v>
      </c>
      <c r="P59" s="4">
        <f t="shared" si="17"/>
        <v>0</v>
      </c>
      <c r="Q59" s="4">
        <f t="shared" si="17"/>
        <v>0</v>
      </c>
      <c r="R59" s="4">
        <f t="shared" si="17"/>
        <v>0</v>
      </c>
      <c r="S59" s="4">
        <f t="shared" si="17"/>
        <v>0</v>
      </c>
      <c r="T59" s="4">
        <f t="shared" si="17"/>
        <v>0</v>
      </c>
    </row>
    <row r="60" spans="1:20" ht="12">
      <c r="A60" t="s">
        <v>26</v>
      </c>
      <c r="E60" s="4">
        <f>E44</f>
        <v>0</v>
      </c>
      <c r="F60" s="4">
        <f aca="true" t="shared" si="18" ref="F60:T60">F44</f>
        <v>-580609.3200000001</v>
      </c>
      <c r="G60" s="4">
        <f t="shared" si="18"/>
        <v>-490617.5721523657</v>
      </c>
      <c r="H60" s="4">
        <f t="shared" si="18"/>
        <v>-464498.43419878767</v>
      </c>
      <c r="I60" s="4">
        <f t="shared" si="18"/>
        <v>-408771.6868228171</v>
      </c>
      <c r="J60" s="4">
        <f t="shared" si="18"/>
        <v>-349287.78601350944</v>
      </c>
      <c r="K60" s="4">
        <f t="shared" si="18"/>
        <v>-285871.45663750276</v>
      </c>
      <c r="L60" s="4">
        <f t="shared" si="18"/>
        <v>-218340.28849152356</v>
      </c>
      <c r="M60" s="4">
        <f t="shared" si="18"/>
        <v>-146504.46594581183</v>
      </c>
      <c r="N60" s="4">
        <f t="shared" si="18"/>
        <v>-102166.39994945745</v>
      </c>
      <c r="O60" s="4">
        <f t="shared" si="18"/>
        <v>-55040.695973970585</v>
      </c>
      <c r="P60" s="4">
        <f t="shared" si="18"/>
        <v>0</v>
      </c>
      <c r="Q60" s="4">
        <f t="shared" si="18"/>
        <v>0</v>
      </c>
      <c r="R60" s="4">
        <f t="shared" si="18"/>
        <v>0</v>
      </c>
      <c r="S60" s="4">
        <f t="shared" si="18"/>
        <v>0</v>
      </c>
      <c r="T60" s="4">
        <f t="shared" si="18"/>
        <v>0</v>
      </c>
    </row>
    <row r="61" spans="1:20" ht="12">
      <c r="A61" t="s">
        <v>29</v>
      </c>
      <c r="E61" s="11">
        <f>E56</f>
        <v>-73261863.7426901</v>
      </c>
      <c r="F61" s="11">
        <f aca="true" t="shared" si="19" ref="F61:T61">F56</f>
        <v>-6386000</v>
      </c>
      <c r="G61" s="11">
        <f t="shared" si="19"/>
        <v>-2758340</v>
      </c>
      <c r="H61" s="11">
        <f t="shared" si="19"/>
        <v>-437090.8</v>
      </c>
      <c r="I61" s="11">
        <f t="shared" si="19"/>
        <v>0</v>
      </c>
      <c r="J61" s="11">
        <f t="shared" si="19"/>
        <v>0</v>
      </c>
      <c r="K61" s="11">
        <f t="shared" si="19"/>
        <v>0</v>
      </c>
      <c r="L61" s="11">
        <f t="shared" si="19"/>
        <v>0</v>
      </c>
      <c r="M61" s="11">
        <f t="shared" si="19"/>
        <v>0</v>
      </c>
      <c r="N61" s="11">
        <f t="shared" si="19"/>
        <v>0</v>
      </c>
      <c r="O61" s="11">
        <f t="shared" si="19"/>
        <v>0</v>
      </c>
      <c r="P61" s="11">
        <f t="shared" si="19"/>
        <v>0</v>
      </c>
      <c r="Q61" s="11">
        <f t="shared" si="19"/>
        <v>0</v>
      </c>
      <c r="R61" s="11">
        <f t="shared" si="19"/>
        <v>0</v>
      </c>
      <c r="S61" s="11">
        <f t="shared" si="19"/>
        <v>0</v>
      </c>
      <c r="T61" s="11">
        <f t="shared" si="19"/>
        <v>0</v>
      </c>
    </row>
    <row r="62" spans="1:20" ht="12">
      <c r="A62" t="s">
        <v>30</v>
      </c>
      <c r="E62" s="4">
        <f>SUM(E59:E61)</f>
        <v>-73261863.7426901</v>
      </c>
      <c r="F62" s="4">
        <f>SUM(F59:F61)</f>
        <v>18068055.055</v>
      </c>
      <c r="G62" s="4">
        <f aca="true" t="shared" si="20" ref="G62:T62">SUM(G59:G61)</f>
        <v>6774012.359097635</v>
      </c>
      <c r="H62" s="4">
        <f t="shared" si="20"/>
        <v>16050849.954988709</v>
      </c>
      <c r="I62" s="4">
        <f t="shared" si="20"/>
        <v>17037240.678040303</v>
      </c>
      <c r="J62" s="4">
        <f t="shared" si="20"/>
        <v>17105104.949795507</v>
      </c>
      <c r="K62" s="4">
        <f t="shared" si="20"/>
        <v>17692153.061245784</v>
      </c>
      <c r="L62" s="4">
        <f t="shared" si="20"/>
        <v>18299024.964928262</v>
      </c>
      <c r="M62" s="4">
        <f t="shared" si="20"/>
        <v>11224419.650239863</v>
      </c>
      <c r="N62" s="4">
        <f t="shared" si="20"/>
        <v>11609885.439721787</v>
      </c>
      <c r="O62" s="4">
        <f t="shared" si="20"/>
        <v>12008372.698887412</v>
      </c>
      <c r="P62" s="4">
        <f t="shared" si="20"/>
        <v>0</v>
      </c>
      <c r="Q62" s="4">
        <f t="shared" si="20"/>
        <v>0</v>
      </c>
      <c r="R62" s="4">
        <f t="shared" si="20"/>
        <v>0</v>
      </c>
      <c r="S62" s="4">
        <f t="shared" si="20"/>
        <v>0</v>
      </c>
      <c r="T62" s="4">
        <f t="shared" si="20"/>
        <v>0</v>
      </c>
    </row>
    <row r="64" spans="1:5" ht="12">
      <c r="A64" t="s">
        <v>32</v>
      </c>
      <c r="E64" s="13">
        <f>IRR(E62:T62)</f>
        <v>0.15301602710838225</v>
      </c>
    </row>
    <row r="65" ht="12">
      <c r="E65" s="13"/>
    </row>
    <row r="66" spans="1:5" ht="12">
      <c r="A66" t="s">
        <v>33</v>
      </c>
      <c r="D66" s="14">
        <v>0.1</v>
      </c>
      <c r="E66" s="15">
        <f>NPV(D66,$F$86:$T$86)+$E$86</f>
        <v>90507491.34419358</v>
      </c>
    </row>
    <row r="67" spans="1:5" ht="12">
      <c r="A67" t="s">
        <v>33</v>
      </c>
      <c r="D67" s="14">
        <v>0.15</v>
      </c>
      <c r="E67" s="15">
        <f>NPV(D67,$F$86:$T$86)+$E$86</f>
        <v>74098441.13598962</v>
      </c>
    </row>
    <row r="68" spans="1:5" ht="12">
      <c r="A68" t="s">
        <v>33</v>
      </c>
      <c r="D68" s="14">
        <v>0.2</v>
      </c>
      <c r="E68" s="15">
        <f>NPV(D68,$F$86:$T$86)+$E$86</f>
        <v>61971916.43402541</v>
      </c>
    </row>
    <row r="77" spans="1:20" ht="12">
      <c r="A77" s="8" t="s">
        <v>14</v>
      </c>
      <c r="B77" s="8"/>
      <c r="C77" s="8"/>
      <c r="D77" s="8"/>
      <c r="E77" s="8">
        <v>2000</v>
      </c>
      <c r="F77" s="9">
        <v>2001</v>
      </c>
      <c r="G77" s="9">
        <v>2002</v>
      </c>
      <c r="H77" s="9">
        <v>2003</v>
      </c>
      <c r="I77" s="9">
        <v>2004</v>
      </c>
      <c r="J77" s="9">
        <v>2005</v>
      </c>
      <c r="K77" s="9">
        <v>2006</v>
      </c>
      <c r="L77" s="9">
        <v>2007</v>
      </c>
      <c r="M77" s="9">
        <v>2008</v>
      </c>
      <c r="N77" s="9">
        <v>2009</v>
      </c>
      <c r="O77" s="9">
        <v>2010</v>
      </c>
      <c r="P77" s="9">
        <v>2011</v>
      </c>
      <c r="Q77" s="9">
        <v>2012</v>
      </c>
      <c r="R77" s="9">
        <v>2013</v>
      </c>
      <c r="S77" s="9">
        <v>2014</v>
      </c>
      <c r="T77" s="9">
        <v>2015</v>
      </c>
    </row>
    <row r="78" spans="1:20" ht="12">
      <c r="A78" t="s">
        <v>15</v>
      </c>
      <c r="E78">
        <v>0</v>
      </c>
      <c r="F78" s="7">
        <v>1</v>
      </c>
      <c r="G78" s="7">
        <v>2</v>
      </c>
      <c r="H78" s="7">
        <v>3</v>
      </c>
      <c r="I78" s="7">
        <v>4</v>
      </c>
      <c r="J78" s="7">
        <v>5</v>
      </c>
      <c r="K78" s="7">
        <v>6</v>
      </c>
      <c r="L78" s="7">
        <v>7</v>
      </c>
      <c r="M78" s="7">
        <v>8</v>
      </c>
      <c r="N78" s="7">
        <v>9</v>
      </c>
      <c r="O78" s="7">
        <v>10</v>
      </c>
      <c r="P78" s="7">
        <v>11</v>
      </c>
      <c r="Q78" s="7">
        <v>12</v>
      </c>
      <c r="R78" s="7">
        <v>13</v>
      </c>
      <c r="S78" s="7">
        <v>14</v>
      </c>
      <c r="T78" s="7">
        <v>15</v>
      </c>
    </row>
    <row r="80" ht="12">
      <c r="A80" s="5" t="s">
        <v>34</v>
      </c>
    </row>
    <row r="81" spans="1:20" ht="12">
      <c r="A81" t="s">
        <v>7</v>
      </c>
      <c r="E81" s="4">
        <f aca="true" t="shared" si="21" ref="E81:T84">-E47</f>
        <v>70376788</v>
      </c>
      <c r="F81" s="4">
        <f t="shared" si="21"/>
        <v>0</v>
      </c>
      <c r="G81" s="4">
        <f t="shared" si="21"/>
        <v>0</v>
      </c>
      <c r="H81" s="4">
        <f t="shared" si="21"/>
        <v>0</v>
      </c>
      <c r="I81" s="4">
        <f t="shared" si="21"/>
        <v>0</v>
      </c>
      <c r="J81" s="4">
        <f t="shared" si="21"/>
        <v>0</v>
      </c>
      <c r="K81" s="4">
        <f t="shared" si="21"/>
        <v>0</v>
      </c>
      <c r="L81" s="4">
        <f t="shared" si="21"/>
        <v>0</v>
      </c>
      <c r="M81" s="4">
        <f t="shared" si="21"/>
        <v>0</v>
      </c>
      <c r="N81" s="4">
        <f t="shared" si="21"/>
        <v>0</v>
      </c>
      <c r="O81" s="4">
        <f t="shared" si="21"/>
        <v>0</v>
      </c>
      <c r="P81" s="4">
        <f t="shared" si="21"/>
        <v>0</v>
      </c>
      <c r="Q81" s="4">
        <f t="shared" si="21"/>
        <v>0</v>
      </c>
      <c r="R81" s="4">
        <f t="shared" si="21"/>
        <v>0</v>
      </c>
      <c r="S81" s="4">
        <f t="shared" si="21"/>
        <v>0</v>
      </c>
      <c r="T81" s="4">
        <f t="shared" si="21"/>
        <v>0</v>
      </c>
    </row>
    <row r="82" spans="1:20" ht="12">
      <c r="A82" t="s">
        <v>80</v>
      </c>
      <c r="E82" s="4">
        <f t="shared" si="21"/>
        <v>1802388.1011725022</v>
      </c>
      <c r="F82" s="4">
        <f t="shared" si="21"/>
        <v>0</v>
      </c>
      <c r="G82" s="4">
        <f t="shared" si="21"/>
        <v>0</v>
      </c>
      <c r="H82" s="4">
        <f t="shared" si="21"/>
        <v>0</v>
      </c>
      <c r="I82" s="4">
        <f t="shared" si="21"/>
        <v>0</v>
      </c>
      <c r="J82" s="4">
        <f t="shared" si="21"/>
        <v>0</v>
      </c>
      <c r="K82" s="4">
        <f t="shared" si="21"/>
        <v>0</v>
      </c>
      <c r="L82" s="4">
        <f t="shared" si="21"/>
        <v>0</v>
      </c>
      <c r="M82" s="4">
        <f t="shared" si="21"/>
        <v>0</v>
      </c>
      <c r="N82" s="4">
        <f t="shared" si="21"/>
        <v>0</v>
      </c>
      <c r="O82" s="4">
        <f t="shared" si="21"/>
        <v>0</v>
      </c>
      <c r="P82" s="4">
        <f t="shared" si="21"/>
        <v>0</v>
      </c>
      <c r="Q82" s="4">
        <f t="shared" si="21"/>
        <v>0</v>
      </c>
      <c r="R82" s="4">
        <f t="shared" si="21"/>
        <v>0</v>
      </c>
      <c r="S82" s="4">
        <f t="shared" si="21"/>
        <v>0</v>
      </c>
      <c r="T82" s="4">
        <f t="shared" si="21"/>
        <v>0</v>
      </c>
    </row>
    <row r="83" spans="5:20" ht="12" hidden="1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">
      <c r="A84" t="s">
        <v>104</v>
      </c>
      <c r="E84" s="4">
        <f t="shared" si="21"/>
        <v>1082687.6415175875</v>
      </c>
      <c r="F84" s="4">
        <f t="shared" si="21"/>
        <v>0</v>
      </c>
      <c r="G84" s="4">
        <f t="shared" si="21"/>
        <v>0</v>
      </c>
      <c r="H84" s="4">
        <f t="shared" si="21"/>
        <v>0</v>
      </c>
      <c r="I84" s="4">
        <f t="shared" si="21"/>
        <v>0</v>
      </c>
      <c r="J84" s="4">
        <f t="shared" si="21"/>
        <v>0</v>
      </c>
      <c r="K84" s="4">
        <f t="shared" si="21"/>
        <v>0</v>
      </c>
      <c r="L84" s="4">
        <f t="shared" si="21"/>
        <v>0</v>
      </c>
      <c r="M84" s="4">
        <f t="shared" si="21"/>
        <v>0</v>
      </c>
      <c r="N84" s="4">
        <f t="shared" si="21"/>
        <v>0</v>
      </c>
      <c r="O84" s="4">
        <f t="shared" si="21"/>
        <v>0</v>
      </c>
      <c r="P84" s="4">
        <f t="shared" si="21"/>
        <v>0</v>
      </c>
      <c r="Q84" s="4">
        <f t="shared" si="21"/>
        <v>0</v>
      </c>
      <c r="R84" s="4">
        <f t="shared" si="21"/>
        <v>0</v>
      </c>
      <c r="S84" s="4">
        <f t="shared" si="21"/>
        <v>0</v>
      </c>
      <c r="T84" s="4">
        <f t="shared" si="21"/>
        <v>0</v>
      </c>
    </row>
    <row r="85" spans="1:20" ht="12">
      <c r="A85" t="s">
        <v>30</v>
      </c>
      <c r="E85" s="11">
        <f aca="true" t="shared" si="22" ref="E85:T85">E62</f>
        <v>-73261863.7426901</v>
      </c>
      <c r="F85" s="11">
        <f t="shared" si="22"/>
        <v>18068055.055</v>
      </c>
      <c r="G85" s="11">
        <f t="shared" si="22"/>
        <v>6774012.359097635</v>
      </c>
      <c r="H85" s="11">
        <f t="shared" si="22"/>
        <v>16050849.954988709</v>
      </c>
      <c r="I85" s="11">
        <f t="shared" si="22"/>
        <v>17037240.678040303</v>
      </c>
      <c r="J85" s="11">
        <f t="shared" si="22"/>
        <v>17105104.949795507</v>
      </c>
      <c r="K85" s="11">
        <f t="shared" si="22"/>
        <v>17692153.061245784</v>
      </c>
      <c r="L85" s="11">
        <f t="shared" si="22"/>
        <v>18299024.964928262</v>
      </c>
      <c r="M85" s="11">
        <f t="shared" si="22"/>
        <v>11224419.650239863</v>
      </c>
      <c r="N85" s="11">
        <f t="shared" si="22"/>
        <v>11609885.439721787</v>
      </c>
      <c r="O85" s="11">
        <f t="shared" si="22"/>
        <v>12008372.698887412</v>
      </c>
      <c r="P85" s="11">
        <f t="shared" si="22"/>
        <v>0</v>
      </c>
      <c r="Q85" s="11">
        <f t="shared" si="22"/>
        <v>0</v>
      </c>
      <c r="R85" s="11">
        <f t="shared" si="22"/>
        <v>0</v>
      </c>
      <c r="S85" s="11">
        <f t="shared" si="22"/>
        <v>0</v>
      </c>
      <c r="T85" s="11">
        <f t="shared" si="22"/>
        <v>0</v>
      </c>
    </row>
    <row r="86" spans="1:20" ht="12">
      <c r="A86" t="s">
        <v>35</v>
      </c>
      <c r="E86" s="4">
        <f>SUM(E81:E85)</f>
        <v>0</v>
      </c>
      <c r="F86" s="4">
        <f>SUM(F81:F85)</f>
        <v>18068055.055</v>
      </c>
      <c r="G86" s="4">
        <f aca="true" t="shared" si="23" ref="G86:S86">SUM(G81:G85)</f>
        <v>6774012.359097635</v>
      </c>
      <c r="H86" s="4">
        <f t="shared" si="23"/>
        <v>16050849.954988709</v>
      </c>
      <c r="I86" s="4">
        <f t="shared" si="23"/>
        <v>17037240.678040303</v>
      </c>
      <c r="J86" s="4">
        <f>SUM(J81:J85)</f>
        <v>17105104.949795507</v>
      </c>
      <c r="K86" s="4">
        <f t="shared" si="23"/>
        <v>17692153.061245784</v>
      </c>
      <c r="L86" s="4">
        <f t="shared" si="23"/>
        <v>18299024.964928262</v>
      </c>
      <c r="M86" s="4">
        <f t="shared" si="23"/>
        <v>11224419.650239863</v>
      </c>
      <c r="N86" s="4">
        <f t="shared" si="23"/>
        <v>11609885.439721787</v>
      </c>
      <c r="O86" s="4">
        <f t="shared" si="23"/>
        <v>12008372.698887412</v>
      </c>
      <c r="P86" s="4">
        <f t="shared" si="23"/>
        <v>0</v>
      </c>
      <c r="Q86" s="4">
        <f t="shared" si="23"/>
        <v>0</v>
      </c>
      <c r="R86" s="4">
        <f t="shared" si="23"/>
        <v>0</v>
      </c>
      <c r="S86" s="4">
        <f t="shared" si="23"/>
        <v>0</v>
      </c>
      <c r="T86" s="4">
        <f>SUM(T81:T85)</f>
        <v>0</v>
      </c>
    </row>
    <row r="88" spans="5:7" ht="12">
      <c r="E88" s="4"/>
      <c r="F88" s="4"/>
      <c r="G88" s="4"/>
    </row>
    <row r="89" ht="12">
      <c r="A89" s="5" t="s">
        <v>47</v>
      </c>
    </row>
    <row r="90" spans="1:20" ht="12">
      <c r="A90" t="s">
        <v>48</v>
      </c>
      <c r="E90" s="4">
        <v>0</v>
      </c>
      <c r="F90" s="4">
        <f>E93</f>
        <v>2815000</v>
      </c>
      <c r="G90" s="4">
        <f aca="true" t="shared" si="24" ref="G90:T90">F93</f>
        <v>2533500</v>
      </c>
      <c r="H90" s="4">
        <f t="shared" si="24"/>
        <v>2252000</v>
      </c>
      <c r="I90" s="4">
        <f t="shared" si="24"/>
        <v>1970500</v>
      </c>
      <c r="J90" s="4">
        <f t="shared" si="24"/>
        <v>1689000</v>
      </c>
      <c r="K90" s="4">
        <f t="shared" si="24"/>
        <v>1407500</v>
      </c>
      <c r="L90" s="4">
        <f t="shared" si="24"/>
        <v>1126000</v>
      </c>
      <c r="M90" s="4">
        <f t="shared" si="24"/>
        <v>844500</v>
      </c>
      <c r="N90" s="4">
        <f t="shared" si="24"/>
        <v>563000</v>
      </c>
      <c r="O90" s="4">
        <f t="shared" si="24"/>
        <v>281500</v>
      </c>
      <c r="P90" s="4">
        <f t="shared" si="24"/>
        <v>0</v>
      </c>
      <c r="Q90" s="4">
        <f t="shared" si="24"/>
        <v>0</v>
      </c>
      <c r="R90" s="4">
        <f t="shared" si="24"/>
        <v>0</v>
      </c>
      <c r="S90" s="4">
        <f t="shared" si="24"/>
        <v>0</v>
      </c>
      <c r="T90" s="4">
        <f t="shared" si="24"/>
        <v>0</v>
      </c>
    </row>
    <row r="91" spans="1:20" ht="12">
      <c r="A91" t="s">
        <v>49</v>
      </c>
      <c r="E91" s="4">
        <f aca="true" t="shared" si="25" ref="E91:T91">IF(E26&lt;$I$12,0,IF(E26&gt;=$I$12+$I$13,0,-$I$14))</f>
        <v>0</v>
      </c>
      <c r="F91" s="4">
        <f t="shared" si="25"/>
        <v>-281500</v>
      </c>
      <c r="G91" s="4">
        <f t="shared" si="25"/>
        <v>-281500</v>
      </c>
      <c r="H91" s="4">
        <f t="shared" si="25"/>
        <v>-281500</v>
      </c>
      <c r="I91" s="4">
        <f t="shared" si="25"/>
        <v>-281500</v>
      </c>
      <c r="J91" s="4">
        <f t="shared" si="25"/>
        <v>-281500</v>
      </c>
      <c r="K91" s="4">
        <f t="shared" si="25"/>
        <v>-281500</v>
      </c>
      <c r="L91" s="4">
        <f t="shared" si="25"/>
        <v>-281500</v>
      </c>
      <c r="M91" s="4">
        <f t="shared" si="25"/>
        <v>-281500</v>
      </c>
      <c r="N91" s="4">
        <f t="shared" si="25"/>
        <v>-281500</v>
      </c>
      <c r="O91" s="4">
        <f t="shared" si="25"/>
        <v>-281500</v>
      </c>
      <c r="P91" s="4">
        <f t="shared" si="25"/>
        <v>0</v>
      </c>
      <c r="Q91" s="4">
        <f t="shared" si="25"/>
        <v>0</v>
      </c>
      <c r="R91" s="4">
        <f t="shared" si="25"/>
        <v>0</v>
      </c>
      <c r="S91" s="4">
        <f t="shared" si="25"/>
        <v>0</v>
      </c>
      <c r="T91" s="4">
        <f t="shared" si="25"/>
        <v>0</v>
      </c>
    </row>
    <row r="92" spans="1:20" ht="12">
      <c r="A92" t="s">
        <v>51</v>
      </c>
      <c r="E92" s="11">
        <f>I7</f>
        <v>2815000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</row>
    <row r="93" spans="1:20" ht="12">
      <c r="A93" t="s">
        <v>50</v>
      </c>
      <c r="E93" s="4">
        <f>SUM(E90:E92)</f>
        <v>2815000</v>
      </c>
      <c r="F93" s="4">
        <f>SUM(F90:F92)</f>
        <v>2533500</v>
      </c>
      <c r="G93" s="4">
        <f aca="true" t="shared" si="26" ref="G93:T93">SUM(G90:G92)</f>
        <v>2252000</v>
      </c>
      <c r="H93" s="4">
        <f t="shared" si="26"/>
        <v>1970500</v>
      </c>
      <c r="I93" s="4">
        <f t="shared" si="26"/>
        <v>1689000</v>
      </c>
      <c r="J93" s="4">
        <f t="shared" si="26"/>
        <v>1407500</v>
      </c>
      <c r="K93" s="4">
        <f t="shared" si="26"/>
        <v>1126000</v>
      </c>
      <c r="L93" s="4">
        <f t="shared" si="26"/>
        <v>844500</v>
      </c>
      <c r="M93" s="4">
        <f t="shared" si="26"/>
        <v>563000</v>
      </c>
      <c r="N93" s="4">
        <f t="shared" si="26"/>
        <v>281500</v>
      </c>
      <c r="O93" s="4">
        <f t="shared" si="26"/>
        <v>0</v>
      </c>
      <c r="P93" s="4">
        <f t="shared" si="26"/>
        <v>0</v>
      </c>
      <c r="Q93" s="4">
        <f t="shared" si="26"/>
        <v>0</v>
      </c>
      <c r="R93" s="4">
        <f t="shared" si="26"/>
        <v>0</v>
      </c>
      <c r="S93" s="4">
        <f t="shared" si="26"/>
        <v>0</v>
      </c>
      <c r="T93" s="4">
        <f t="shared" si="26"/>
        <v>0</v>
      </c>
    </row>
    <row r="95" ht="12">
      <c r="A95" s="5" t="s">
        <v>52</v>
      </c>
    </row>
    <row r="96" spans="1:20" ht="12">
      <c r="A96" t="s">
        <v>48</v>
      </c>
      <c r="E96" s="4">
        <v>0</v>
      </c>
      <c r="F96" s="4">
        <f>E99</f>
        <v>100000</v>
      </c>
      <c r="G96" s="4">
        <f aca="true" t="shared" si="27" ref="G96:T96">F99</f>
        <v>90000</v>
      </c>
      <c r="H96" s="4">
        <f t="shared" si="27"/>
        <v>80000</v>
      </c>
      <c r="I96" s="4">
        <f t="shared" si="27"/>
        <v>70000</v>
      </c>
      <c r="J96" s="4">
        <f t="shared" si="27"/>
        <v>60000</v>
      </c>
      <c r="K96" s="4">
        <f t="shared" si="27"/>
        <v>50000</v>
      </c>
      <c r="L96" s="4">
        <f t="shared" si="27"/>
        <v>40000</v>
      </c>
      <c r="M96" s="4">
        <f t="shared" si="27"/>
        <v>30000</v>
      </c>
      <c r="N96" s="4">
        <f t="shared" si="27"/>
        <v>20000</v>
      </c>
      <c r="O96" s="4">
        <f t="shared" si="27"/>
        <v>10000</v>
      </c>
      <c r="P96" s="4">
        <f t="shared" si="27"/>
        <v>0</v>
      </c>
      <c r="Q96" s="4">
        <f t="shared" si="27"/>
        <v>0</v>
      </c>
      <c r="R96" s="4">
        <f t="shared" si="27"/>
        <v>0</v>
      </c>
      <c r="S96" s="4">
        <f t="shared" si="27"/>
        <v>0</v>
      </c>
      <c r="T96" s="4">
        <f t="shared" si="27"/>
        <v>0</v>
      </c>
    </row>
    <row r="97" spans="1:20" ht="12">
      <c r="A97" t="s">
        <v>49</v>
      </c>
      <c r="E97" s="4">
        <f aca="true" t="shared" si="28" ref="E97:T97">IF(E26&lt;$J$12,0,IF(E26&gt;=$J$12+$J$13,0,-$J$14))</f>
        <v>0</v>
      </c>
      <c r="F97" s="4">
        <f t="shared" si="28"/>
        <v>-10000</v>
      </c>
      <c r="G97" s="4">
        <f t="shared" si="28"/>
        <v>-10000</v>
      </c>
      <c r="H97" s="4">
        <f t="shared" si="28"/>
        <v>-10000</v>
      </c>
      <c r="I97" s="4">
        <f t="shared" si="28"/>
        <v>-10000</v>
      </c>
      <c r="J97" s="4">
        <f t="shared" si="28"/>
        <v>-10000</v>
      </c>
      <c r="K97" s="4">
        <f t="shared" si="28"/>
        <v>-10000</v>
      </c>
      <c r="L97" s="4">
        <f t="shared" si="28"/>
        <v>-10000</v>
      </c>
      <c r="M97" s="4">
        <f t="shared" si="28"/>
        <v>-10000</v>
      </c>
      <c r="N97" s="4">
        <f t="shared" si="28"/>
        <v>-10000</v>
      </c>
      <c r="O97" s="4">
        <f t="shared" si="28"/>
        <v>-10000</v>
      </c>
      <c r="P97" s="4">
        <f t="shared" si="28"/>
        <v>0</v>
      </c>
      <c r="Q97" s="4">
        <f t="shared" si="28"/>
        <v>0</v>
      </c>
      <c r="R97" s="4">
        <f t="shared" si="28"/>
        <v>0</v>
      </c>
      <c r="S97" s="4">
        <f t="shared" si="28"/>
        <v>0</v>
      </c>
      <c r="T97" s="4">
        <f t="shared" si="28"/>
        <v>0</v>
      </c>
    </row>
    <row r="98" spans="1:20" ht="12">
      <c r="A98" t="s">
        <v>51</v>
      </c>
      <c r="E98" s="11">
        <f>J7</f>
        <v>100000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</row>
    <row r="99" spans="1:20" ht="12">
      <c r="A99" t="s">
        <v>50</v>
      </c>
      <c r="E99" s="4">
        <f>SUM(E96:E98)</f>
        <v>100000</v>
      </c>
      <c r="F99" s="4">
        <f>SUM(F96:F98)</f>
        <v>90000</v>
      </c>
      <c r="G99" s="4">
        <f aca="true" t="shared" si="29" ref="G99:T99">SUM(G96:G98)</f>
        <v>80000</v>
      </c>
      <c r="H99" s="4">
        <f t="shared" si="29"/>
        <v>70000</v>
      </c>
      <c r="I99" s="4">
        <f t="shared" si="29"/>
        <v>60000</v>
      </c>
      <c r="J99" s="4">
        <f t="shared" si="29"/>
        <v>50000</v>
      </c>
      <c r="K99" s="4">
        <f t="shared" si="29"/>
        <v>40000</v>
      </c>
      <c r="L99" s="4">
        <f t="shared" si="29"/>
        <v>30000</v>
      </c>
      <c r="M99" s="4">
        <f t="shared" si="29"/>
        <v>20000</v>
      </c>
      <c r="N99" s="4">
        <f t="shared" si="29"/>
        <v>10000</v>
      </c>
      <c r="O99" s="4">
        <f t="shared" si="29"/>
        <v>0</v>
      </c>
      <c r="P99" s="4">
        <f t="shared" si="29"/>
        <v>0</v>
      </c>
      <c r="Q99" s="4">
        <f t="shared" si="29"/>
        <v>0</v>
      </c>
      <c r="R99" s="4">
        <f t="shared" si="29"/>
        <v>0</v>
      </c>
      <c r="S99" s="4">
        <f t="shared" si="29"/>
        <v>0</v>
      </c>
      <c r="T99" s="4">
        <f t="shared" si="29"/>
        <v>0</v>
      </c>
    </row>
    <row r="101" ht="12">
      <c r="A101" s="5" t="s">
        <v>53</v>
      </c>
    </row>
    <row r="102" spans="1:20" ht="12">
      <c r="A102" t="s">
        <v>48</v>
      </c>
      <c r="E102" s="4">
        <v>0</v>
      </c>
      <c r="F102" s="4">
        <f>E105</f>
        <v>960000</v>
      </c>
      <c r="G102" s="4">
        <f aca="true" t="shared" si="30" ref="G102:T102">F105</f>
        <v>960000</v>
      </c>
      <c r="H102" s="4">
        <f t="shared" si="30"/>
        <v>960000</v>
      </c>
      <c r="I102" s="4">
        <f t="shared" si="30"/>
        <v>768000</v>
      </c>
      <c r="J102" s="4">
        <f t="shared" si="30"/>
        <v>576000</v>
      </c>
      <c r="K102" s="4">
        <f t="shared" si="30"/>
        <v>384000</v>
      </c>
      <c r="L102" s="4">
        <f t="shared" si="30"/>
        <v>192000</v>
      </c>
      <c r="M102" s="4">
        <f t="shared" si="30"/>
        <v>0</v>
      </c>
      <c r="N102" s="4">
        <f t="shared" si="30"/>
        <v>0</v>
      </c>
      <c r="O102" s="4">
        <f t="shared" si="30"/>
        <v>0</v>
      </c>
      <c r="P102" s="4">
        <f t="shared" si="30"/>
        <v>0</v>
      </c>
      <c r="Q102" s="4">
        <f t="shared" si="30"/>
        <v>0</v>
      </c>
      <c r="R102" s="4">
        <f t="shared" si="30"/>
        <v>0</v>
      </c>
      <c r="S102" s="4">
        <f t="shared" si="30"/>
        <v>0</v>
      </c>
      <c r="T102" s="4">
        <f t="shared" si="30"/>
        <v>0</v>
      </c>
    </row>
    <row r="103" spans="1:20" ht="12">
      <c r="A103" t="s">
        <v>49</v>
      </c>
      <c r="E103" s="4">
        <f aca="true" t="shared" si="31" ref="E103:T103">IF(E26&lt;$K$12,0,IF(E26&gt;=$K$12+$K$13,0,-$K$14))</f>
        <v>0</v>
      </c>
      <c r="F103" s="4">
        <f t="shared" si="31"/>
        <v>0</v>
      </c>
      <c r="G103" s="4">
        <f t="shared" si="31"/>
        <v>0</v>
      </c>
      <c r="H103" s="4">
        <f t="shared" si="31"/>
        <v>-192000</v>
      </c>
      <c r="I103" s="4">
        <f t="shared" si="31"/>
        <v>-192000</v>
      </c>
      <c r="J103" s="4">
        <f t="shared" si="31"/>
        <v>-192000</v>
      </c>
      <c r="K103" s="4">
        <f t="shared" si="31"/>
        <v>-192000</v>
      </c>
      <c r="L103" s="4">
        <f t="shared" si="31"/>
        <v>-192000</v>
      </c>
      <c r="M103" s="4">
        <f t="shared" si="31"/>
        <v>0</v>
      </c>
      <c r="N103" s="4">
        <f t="shared" si="31"/>
        <v>0</v>
      </c>
      <c r="O103" s="4">
        <f t="shared" si="31"/>
        <v>0</v>
      </c>
      <c r="P103" s="4">
        <f t="shared" si="31"/>
        <v>0</v>
      </c>
      <c r="Q103" s="4">
        <f t="shared" si="31"/>
        <v>0</v>
      </c>
      <c r="R103" s="4">
        <f t="shared" si="31"/>
        <v>0</v>
      </c>
      <c r="S103" s="4">
        <f t="shared" si="31"/>
        <v>0</v>
      </c>
      <c r="T103" s="4">
        <f t="shared" si="31"/>
        <v>0</v>
      </c>
    </row>
    <row r="104" spans="1:20" ht="12">
      <c r="A104" t="s">
        <v>51</v>
      </c>
      <c r="E104" s="11">
        <f>K7</f>
        <v>960000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</row>
    <row r="105" spans="1:20" ht="12">
      <c r="A105" t="s">
        <v>50</v>
      </c>
      <c r="E105" s="4">
        <f aca="true" t="shared" si="32" ref="E105:T105">SUM(E102:E104)</f>
        <v>960000</v>
      </c>
      <c r="F105" s="4">
        <f t="shared" si="32"/>
        <v>960000</v>
      </c>
      <c r="G105" s="4">
        <f t="shared" si="32"/>
        <v>960000</v>
      </c>
      <c r="H105" s="4">
        <f t="shared" si="32"/>
        <v>768000</v>
      </c>
      <c r="I105" s="4">
        <f t="shared" si="32"/>
        <v>576000</v>
      </c>
      <c r="J105" s="4">
        <f t="shared" si="32"/>
        <v>384000</v>
      </c>
      <c r="K105" s="4">
        <f t="shared" si="32"/>
        <v>192000</v>
      </c>
      <c r="L105" s="4">
        <f t="shared" si="32"/>
        <v>0</v>
      </c>
      <c r="M105" s="4">
        <f t="shared" si="32"/>
        <v>0</v>
      </c>
      <c r="N105" s="4">
        <f t="shared" si="32"/>
        <v>0</v>
      </c>
      <c r="O105" s="4">
        <f t="shared" si="32"/>
        <v>0</v>
      </c>
      <c r="P105" s="4">
        <f t="shared" si="32"/>
        <v>0</v>
      </c>
      <c r="Q105" s="4">
        <f t="shared" si="32"/>
        <v>0</v>
      </c>
      <c r="R105" s="4">
        <f t="shared" si="32"/>
        <v>0</v>
      </c>
      <c r="S105" s="4">
        <f t="shared" si="32"/>
        <v>0</v>
      </c>
      <c r="T105" s="4">
        <f t="shared" si="32"/>
        <v>0</v>
      </c>
    </row>
    <row r="107" ht="12">
      <c r="A107" s="5" t="s">
        <v>54</v>
      </c>
    </row>
    <row r="108" spans="1:20" ht="12">
      <c r="A108" t="s">
        <v>48</v>
      </c>
      <c r="E108" s="4">
        <v>0</v>
      </c>
      <c r="F108" s="4">
        <f>E111</f>
        <v>500000</v>
      </c>
      <c r="G108" s="4">
        <f aca="true" t="shared" si="33" ref="G108:T108">F111</f>
        <v>0</v>
      </c>
      <c r="H108" s="4">
        <f t="shared" si="33"/>
        <v>0</v>
      </c>
      <c r="I108" s="4">
        <f t="shared" si="33"/>
        <v>0</v>
      </c>
      <c r="J108" s="4">
        <f t="shared" si="33"/>
        <v>0</v>
      </c>
      <c r="K108" s="4">
        <f t="shared" si="33"/>
        <v>0</v>
      </c>
      <c r="L108" s="4">
        <f t="shared" si="33"/>
        <v>0</v>
      </c>
      <c r="M108" s="4">
        <f t="shared" si="33"/>
        <v>0</v>
      </c>
      <c r="N108" s="4">
        <f t="shared" si="33"/>
        <v>0</v>
      </c>
      <c r="O108" s="4">
        <f t="shared" si="33"/>
        <v>0</v>
      </c>
      <c r="P108" s="4">
        <f t="shared" si="33"/>
        <v>0</v>
      </c>
      <c r="Q108" s="4">
        <f t="shared" si="33"/>
        <v>0</v>
      </c>
      <c r="R108" s="4">
        <f t="shared" si="33"/>
        <v>0</v>
      </c>
      <c r="S108" s="4">
        <f t="shared" si="33"/>
        <v>0</v>
      </c>
      <c r="T108" s="4">
        <f t="shared" si="33"/>
        <v>0</v>
      </c>
    </row>
    <row r="109" spans="1:20" ht="12">
      <c r="A109" t="s">
        <v>49</v>
      </c>
      <c r="E109" s="4">
        <f aca="true" t="shared" si="34" ref="E109:T109">IF(E26&lt;$L$12,0,IF(E26&gt;=$L$12+$L$13,0,-$L$14))</f>
        <v>0</v>
      </c>
      <c r="F109" s="4">
        <f t="shared" si="34"/>
        <v>-500000</v>
      </c>
      <c r="G109" s="4">
        <f t="shared" si="34"/>
        <v>0</v>
      </c>
      <c r="H109" s="4">
        <f t="shared" si="34"/>
        <v>0</v>
      </c>
      <c r="I109" s="4">
        <f t="shared" si="34"/>
        <v>0</v>
      </c>
      <c r="J109" s="4">
        <f t="shared" si="34"/>
        <v>0</v>
      </c>
      <c r="K109" s="4">
        <f t="shared" si="34"/>
        <v>0</v>
      </c>
      <c r="L109" s="4">
        <f t="shared" si="34"/>
        <v>0</v>
      </c>
      <c r="M109" s="4">
        <f t="shared" si="34"/>
        <v>0</v>
      </c>
      <c r="N109" s="4">
        <f t="shared" si="34"/>
        <v>0</v>
      </c>
      <c r="O109" s="4">
        <f t="shared" si="34"/>
        <v>0</v>
      </c>
      <c r="P109" s="4">
        <f t="shared" si="34"/>
        <v>0</v>
      </c>
      <c r="Q109" s="4">
        <f t="shared" si="34"/>
        <v>0</v>
      </c>
      <c r="R109" s="4">
        <f t="shared" si="34"/>
        <v>0</v>
      </c>
      <c r="S109" s="4">
        <f t="shared" si="34"/>
        <v>0</v>
      </c>
      <c r="T109" s="4">
        <f t="shared" si="34"/>
        <v>0</v>
      </c>
    </row>
    <row r="110" spans="1:20" ht="12">
      <c r="A110" t="s">
        <v>51</v>
      </c>
      <c r="E110" s="11">
        <f>L7</f>
        <v>500000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</row>
    <row r="111" spans="1:20" ht="12">
      <c r="A111" t="s">
        <v>50</v>
      </c>
      <c r="E111" s="4">
        <f>SUM(E108:E110)</f>
        <v>500000</v>
      </c>
      <c r="F111" s="4">
        <f>SUM(F108:F110)</f>
        <v>0</v>
      </c>
      <c r="G111" s="4">
        <f aca="true" t="shared" si="35" ref="G111:T111">SUM(G108:G110)</f>
        <v>0</v>
      </c>
      <c r="H111" s="4">
        <f t="shared" si="35"/>
        <v>0</v>
      </c>
      <c r="I111" s="4">
        <f t="shared" si="35"/>
        <v>0</v>
      </c>
      <c r="J111" s="4">
        <f t="shared" si="35"/>
        <v>0</v>
      </c>
      <c r="K111" s="4">
        <f t="shared" si="35"/>
        <v>0</v>
      </c>
      <c r="L111" s="4">
        <f t="shared" si="35"/>
        <v>0</v>
      </c>
      <c r="M111" s="4">
        <f t="shared" si="35"/>
        <v>0</v>
      </c>
      <c r="N111" s="4">
        <f t="shared" si="35"/>
        <v>0</v>
      </c>
      <c r="O111" s="4">
        <f t="shared" si="35"/>
        <v>0</v>
      </c>
      <c r="P111" s="4">
        <f t="shared" si="35"/>
        <v>0</v>
      </c>
      <c r="Q111" s="4">
        <f t="shared" si="35"/>
        <v>0</v>
      </c>
      <c r="R111" s="4">
        <f t="shared" si="35"/>
        <v>0</v>
      </c>
      <c r="S111" s="4">
        <f t="shared" si="35"/>
        <v>0</v>
      </c>
      <c r="T111" s="4">
        <f t="shared" si="35"/>
        <v>0</v>
      </c>
    </row>
    <row r="113" ht="12">
      <c r="A113" s="5" t="s">
        <v>55</v>
      </c>
    </row>
    <row r="114" spans="1:20" ht="12">
      <c r="A114" t="s">
        <v>48</v>
      </c>
      <c r="E114" s="4">
        <f>E90+E96+E102+E108</f>
        <v>0</v>
      </c>
      <c r="F114" s="4">
        <f aca="true" t="shared" si="36" ref="F114:T114">F90+F96+F102+F108</f>
        <v>4375000</v>
      </c>
      <c r="G114" s="4">
        <f t="shared" si="36"/>
        <v>3583500</v>
      </c>
      <c r="H114" s="4">
        <f t="shared" si="36"/>
        <v>3292000</v>
      </c>
      <c r="I114" s="4">
        <f t="shared" si="36"/>
        <v>2808500</v>
      </c>
      <c r="J114" s="4">
        <f t="shared" si="36"/>
        <v>2325000</v>
      </c>
      <c r="K114" s="4">
        <f t="shared" si="36"/>
        <v>1841500</v>
      </c>
      <c r="L114" s="4">
        <f t="shared" si="36"/>
        <v>1358000</v>
      </c>
      <c r="M114" s="4">
        <f t="shared" si="36"/>
        <v>874500</v>
      </c>
      <c r="N114" s="4">
        <f t="shared" si="36"/>
        <v>583000</v>
      </c>
      <c r="O114" s="4">
        <f t="shared" si="36"/>
        <v>291500</v>
      </c>
      <c r="P114" s="4">
        <f t="shared" si="36"/>
        <v>0</v>
      </c>
      <c r="Q114" s="4">
        <f t="shared" si="36"/>
        <v>0</v>
      </c>
      <c r="R114" s="4">
        <f t="shared" si="36"/>
        <v>0</v>
      </c>
      <c r="S114" s="4">
        <f t="shared" si="36"/>
        <v>0</v>
      </c>
      <c r="T114" s="4">
        <f t="shared" si="36"/>
        <v>0</v>
      </c>
    </row>
    <row r="115" spans="1:20" ht="12">
      <c r="A115" t="s">
        <v>49</v>
      </c>
      <c r="E115" s="4">
        <f aca="true" t="shared" si="37" ref="E115:T116">E91+E97+E103+E109</f>
        <v>0</v>
      </c>
      <c r="F115" s="4">
        <f t="shared" si="37"/>
        <v>-791500</v>
      </c>
      <c r="G115" s="4">
        <f t="shared" si="37"/>
        <v>-291500</v>
      </c>
      <c r="H115" s="4">
        <f t="shared" si="37"/>
        <v>-483500</v>
      </c>
      <c r="I115" s="4">
        <f t="shared" si="37"/>
        <v>-483500</v>
      </c>
      <c r="J115" s="4">
        <f t="shared" si="37"/>
        <v>-483500</v>
      </c>
      <c r="K115" s="4">
        <f t="shared" si="37"/>
        <v>-483500</v>
      </c>
      <c r="L115" s="4">
        <f t="shared" si="37"/>
        <v>-483500</v>
      </c>
      <c r="M115" s="4">
        <f t="shared" si="37"/>
        <v>-291500</v>
      </c>
      <c r="N115" s="4">
        <f t="shared" si="37"/>
        <v>-291500</v>
      </c>
      <c r="O115" s="4">
        <f t="shared" si="37"/>
        <v>-291500</v>
      </c>
      <c r="P115" s="4">
        <f t="shared" si="37"/>
        <v>0</v>
      </c>
      <c r="Q115" s="4">
        <f t="shared" si="37"/>
        <v>0</v>
      </c>
      <c r="R115" s="4">
        <f t="shared" si="37"/>
        <v>0</v>
      </c>
      <c r="S115" s="4">
        <f t="shared" si="37"/>
        <v>0</v>
      </c>
      <c r="T115" s="4">
        <f t="shared" si="37"/>
        <v>0</v>
      </c>
    </row>
    <row r="116" spans="1:20" ht="12">
      <c r="A116" t="s">
        <v>51</v>
      </c>
      <c r="E116" s="11">
        <f t="shared" si="37"/>
        <v>4375000</v>
      </c>
      <c r="F116" s="11">
        <f t="shared" si="37"/>
        <v>0</v>
      </c>
      <c r="G116" s="11">
        <f t="shared" si="37"/>
        <v>0</v>
      </c>
      <c r="H116" s="11">
        <f t="shared" si="37"/>
        <v>0</v>
      </c>
      <c r="I116" s="11">
        <f t="shared" si="37"/>
        <v>0</v>
      </c>
      <c r="J116" s="11">
        <f t="shared" si="37"/>
        <v>0</v>
      </c>
      <c r="K116" s="11">
        <f t="shared" si="37"/>
        <v>0</v>
      </c>
      <c r="L116" s="11">
        <f t="shared" si="37"/>
        <v>0</v>
      </c>
      <c r="M116" s="11">
        <f t="shared" si="37"/>
        <v>0</v>
      </c>
      <c r="N116" s="11">
        <f t="shared" si="37"/>
        <v>0</v>
      </c>
      <c r="O116" s="11">
        <f t="shared" si="37"/>
        <v>0</v>
      </c>
      <c r="P116" s="11">
        <f t="shared" si="37"/>
        <v>0</v>
      </c>
      <c r="Q116" s="11">
        <f t="shared" si="37"/>
        <v>0</v>
      </c>
      <c r="R116" s="11">
        <f t="shared" si="37"/>
        <v>0</v>
      </c>
      <c r="S116" s="11">
        <f t="shared" si="37"/>
        <v>0</v>
      </c>
      <c r="T116" s="11">
        <f t="shared" si="37"/>
        <v>0</v>
      </c>
    </row>
    <row r="117" spans="1:20" ht="12">
      <c r="A117" t="s">
        <v>50</v>
      </c>
      <c r="E117" s="4">
        <f aca="true" t="shared" si="38" ref="E117:T117">SUM(E114:E116)</f>
        <v>4375000</v>
      </c>
      <c r="F117" s="4">
        <f t="shared" si="38"/>
        <v>3583500</v>
      </c>
      <c r="G117" s="4">
        <f t="shared" si="38"/>
        <v>3292000</v>
      </c>
      <c r="H117" s="4">
        <f t="shared" si="38"/>
        <v>2808500</v>
      </c>
      <c r="I117" s="4">
        <f t="shared" si="38"/>
        <v>2325000</v>
      </c>
      <c r="J117" s="4">
        <f t="shared" si="38"/>
        <v>1841500</v>
      </c>
      <c r="K117" s="4">
        <f t="shared" si="38"/>
        <v>1358000</v>
      </c>
      <c r="L117" s="4">
        <f t="shared" si="38"/>
        <v>874500</v>
      </c>
      <c r="M117" s="4">
        <f t="shared" si="38"/>
        <v>583000</v>
      </c>
      <c r="N117" s="4">
        <f t="shared" si="38"/>
        <v>291500</v>
      </c>
      <c r="O117" s="4">
        <f t="shared" si="38"/>
        <v>0</v>
      </c>
      <c r="P117" s="4">
        <f t="shared" si="38"/>
        <v>0</v>
      </c>
      <c r="Q117" s="4">
        <f t="shared" si="38"/>
        <v>0</v>
      </c>
      <c r="R117" s="4">
        <f t="shared" si="38"/>
        <v>0</v>
      </c>
      <c r="S117" s="4">
        <f t="shared" si="38"/>
        <v>0</v>
      </c>
      <c r="T117" s="4">
        <f t="shared" si="38"/>
        <v>0</v>
      </c>
    </row>
    <row r="119" spans="1:11" ht="12">
      <c r="A119" t="s">
        <v>109</v>
      </c>
      <c r="F119" s="4">
        <f>-3700000-1000000-1500000</f>
        <v>-6200000</v>
      </c>
      <c r="G119" s="4">
        <f>-2100000-500000</f>
        <v>-2600000</v>
      </c>
      <c r="H119" s="4">
        <v>-400000</v>
      </c>
      <c r="I119" s="4"/>
      <c r="J119" s="4"/>
      <c r="K119" s="4"/>
    </row>
    <row r="120" spans="5:20" ht="12">
      <c r="E120" s="21">
        <v>1</v>
      </c>
      <c r="F120" s="23">
        <f aca="true" t="shared" si="39" ref="F120:T120">E120*(1+$D$21)</f>
        <v>1.03</v>
      </c>
      <c r="G120" s="23">
        <f t="shared" si="39"/>
        <v>1.0609</v>
      </c>
      <c r="H120" s="23">
        <f t="shared" si="39"/>
        <v>1.092727</v>
      </c>
      <c r="I120" s="23">
        <f t="shared" si="39"/>
        <v>1.1255088100000001</v>
      </c>
      <c r="J120" s="23">
        <f t="shared" si="39"/>
        <v>1.1592740743</v>
      </c>
      <c r="K120" s="23">
        <f t="shared" si="39"/>
        <v>1.1940522965290001</v>
      </c>
      <c r="L120" s="23">
        <f t="shared" si="39"/>
        <v>1.2298738654248702</v>
      </c>
      <c r="M120" s="23">
        <f t="shared" si="39"/>
        <v>1.2667700813876164</v>
      </c>
      <c r="N120" s="23">
        <f t="shared" si="39"/>
        <v>1.304773183829245</v>
      </c>
      <c r="O120" s="23">
        <f t="shared" si="39"/>
        <v>1.3439163793441222</v>
      </c>
      <c r="P120" s="23">
        <f t="shared" si="39"/>
        <v>1.384233870724446</v>
      </c>
      <c r="Q120" s="23">
        <f t="shared" si="39"/>
        <v>1.4257608868461793</v>
      </c>
      <c r="R120" s="23">
        <f t="shared" si="39"/>
        <v>1.4685337134515648</v>
      </c>
      <c r="S120" s="23">
        <f t="shared" si="39"/>
        <v>1.512589724855112</v>
      </c>
      <c r="T120" s="23">
        <f t="shared" si="39"/>
        <v>1.5579674166007653</v>
      </c>
    </row>
    <row r="121" spans="1:20" ht="12">
      <c r="A121" t="s">
        <v>98</v>
      </c>
      <c r="E121">
        <f>E119*E120</f>
        <v>0</v>
      </c>
      <c r="F121">
        <f aca="true" t="shared" si="40" ref="F121:T121">F119*F120</f>
        <v>-6386000</v>
      </c>
      <c r="G121">
        <f t="shared" si="40"/>
        <v>-2758340</v>
      </c>
      <c r="H121">
        <f t="shared" si="40"/>
        <v>-437090.8</v>
      </c>
      <c r="I121">
        <f t="shared" si="40"/>
        <v>0</v>
      </c>
      <c r="J121">
        <f t="shared" si="40"/>
        <v>0</v>
      </c>
      <c r="K121">
        <f t="shared" si="40"/>
        <v>0</v>
      </c>
      <c r="L121">
        <f t="shared" si="40"/>
        <v>0</v>
      </c>
      <c r="M121">
        <f t="shared" si="40"/>
        <v>0</v>
      </c>
      <c r="N121">
        <f t="shared" si="40"/>
        <v>0</v>
      </c>
      <c r="O121">
        <f t="shared" si="40"/>
        <v>0</v>
      </c>
      <c r="P121">
        <f t="shared" si="40"/>
        <v>0</v>
      </c>
      <c r="Q121">
        <f t="shared" si="40"/>
        <v>0</v>
      </c>
      <c r="R121">
        <f t="shared" si="40"/>
        <v>0</v>
      </c>
      <c r="S121">
        <f t="shared" si="40"/>
        <v>0</v>
      </c>
      <c r="T121">
        <f t="shared" si="40"/>
        <v>0</v>
      </c>
    </row>
  </sheetData>
  <mergeCells count="2">
    <mergeCell ref="Q5:S5"/>
    <mergeCell ref="I5:L5"/>
  </mergeCells>
  <printOptions/>
  <pageMargins left="0.5" right="0.5" top="0.5" bottom="0.5" header="0" footer="0"/>
  <pageSetup fitToHeight="1" fitToWidth="1" horizontalDpi="600" verticalDpi="600" orientation="landscape" scale="56"/>
  <headerFooter alignWithMargins="0">
    <oddHeader>&amp;R&amp;F, &amp;A:  Page &amp;P of &amp;N</oddHeader>
    <oddFooter>&amp;LConfidential Draft - &amp;T on &amp;D&amp;RWells Hill Partners, Ltd.</oddFooter>
  </headerFooter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1"/>
  <sheetViews>
    <sheetView workbookViewId="0" topLeftCell="A1">
      <selection activeCell="A1" sqref="A1"/>
    </sheetView>
  </sheetViews>
  <sheetFormatPr defaultColWidth="8.8515625" defaultRowHeight="12.75"/>
  <cols>
    <col min="1" max="3" width="10.28125" style="0" customWidth="1"/>
    <col min="4" max="4" width="12.421875" style="0" bestFit="1" customWidth="1"/>
    <col min="5" max="10" width="11.7109375" style="0" customWidth="1"/>
    <col min="11" max="11" width="12.421875" style="0" customWidth="1"/>
    <col min="12" max="25" width="11.7109375" style="0" customWidth="1"/>
  </cols>
  <sheetData>
    <row r="1" ht="15">
      <c r="A1" s="2" t="s">
        <v>119</v>
      </c>
    </row>
    <row r="2" ht="15">
      <c r="A2" s="1" t="s">
        <v>86</v>
      </c>
    </row>
    <row r="5" spans="1:19" ht="12">
      <c r="A5" s="5" t="s">
        <v>8</v>
      </c>
      <c r="I5" s="54" t="s">
        <v>92</v>
      </c>
      <c r="J5" s="54"/>
      <c r="K5" s="54"/>
      <c r="L5" s="54"/>
      <c r="Q5" s="54" t="s">
        <v>74</v>
      </c>
      <c r="R5" s="54"/>
      <c r="S5" s="54"/>
    </row>
    <row r="6" spans="1:25" ht="12">
      <c r="A6" t="s">
        <v>89</v>
      </c>
      <c r="D6" s="3">
        <f>23233705*(1+$I$20)</f>
        <v>23233705</v>
      </c>
      <c r="I6" s="10" t="s">
        <v>39</v>
      </c>
      <c r="J6" s="10" t="s">
        <v>40</v>
      </c>
      <c r="K6" s="10" t="s">
        <v>41</v>
      </c>
      <c r="L6" s="10" t="s">
        <v>42</v>
      </c>
      <c r="Q6" s="10" t="s">
        <v>63</v>
      </c>
      <c r="R6" s="10" t="s">
        <v>65</v>
      </c>
      <c r="S6" s="10" t="s">
        <v>64</v>
      </c>
      <c r="V6" s="10"/>
      <c r="X6" s="10"/>
      <c r="Y6" s="10"/>
    </row>
    <row r="7" spans="1:25" ht="12">
      <c r="A7" t="s">
        <v>78</v>
      </c>
      <c r="D7" s="3">
        <v>5391860.546329706</v>
      </c>
      <c r="F7" t="s">
        <v>36</v>
      </c>
      <c r="I7" s="4">
        <v>1900000</v>
      </c>
      <c r="J7" s="4">
        <v>135000</v>
      </c>
      <c r="K7" s="4">
        <f>SUM(Q10:S10)</f>
        <v>3081900</v>
      </c>
      <c r="L7" s="4">
        <v>500000</v>
      </c>
      <c r="N7" t="s">
        <v>68</v>
      </c>
      <c r="Q7" s="4">
        <v>733</v>
      </c>
      <c r="R7" s="4">
        <v>538</v>
      </c>
      <c r="S7" s="4">
        <v>412</v>
      </c>
      <c r="X7" s="4"/>
      <c r="Y7" s="4"/>
    </row>
    <row r="8" spans="1:25" ht="12">
      <c r="A8" t="s">
        <v>79</v>
      </c>
      <c r="D8" s="20">
        <v>5181239.976608866</v>
      </c>
      <c r="F8" t="s">
        <v>37</v>
      </c>
      <c r="I8" s="16">
        <v>32.5</v>
      </c>
      <c r="J8" s="16">
        <v>30</v>
      </c>
      <c r="K8" s="16">
        <f>K9/K7</f>
        <v>30.682371264479706</v>
      </c>
      <c r="L8" s="16">
        <f>L9/L7</f>
        <v>31.25</v>
      </c>
      <c r="N8" t="s">
        <v>67</v>
      </c>
      <c r="Q8" s="3">
        <v>40000</v>
      </c>
      <c r="R8" s="3">
        <v>60000</v>
      </c>
      <c r="S8" s="3">
        <v>80000</v>
      </c>
      <c r="X8" s="3"/>
      <c r="Y8" s="3"/>
    </row>
    <row r="9" spans="1:25" ht="12">
      <c r="A9" t="s">
        <v>7</v>
      </c>
      <c r="D9" s="3">
        <f>SUM(D6:D8)</f>
        <v>33806805.52293857</v>
      </c>
      <c r="F9" t="s">
        <v>94</v>
      </c>
      <c r="I9" s="3">
        <f>I7*I8</f>
        <v>61750000</v>
      </c>
      <c r="J9" s="3">
        <f>J7*J8</f>
        <v>4050000</v>
      </c>
      <c r="K9" s="3">
        <f>SUM(Q9:S9)</f>
        <v>94560000</v>
      </c>
      <c r="L9" s="3">
        <f>L10*L11</f>
        <v>15625000</v>
      </c>
      <c r="N9" t="s">
        <v>94</v>
      </c>
      <c r="Q9" s="3">
        <f>Q7*Q8</f>
        <v>29320000</v>
      </c>
      <c r="R9" s="3">
        <f>R7*R8</f>
        <v>32280000</v>
      </c>
      <c r="S9" s="3">
        <f>S7*S8</f>
        <v>32960000</v>
      </c>
      <c r="X9" s="3"/>
      <c r="Y9" s="3"/>
    </row>
    <row r="10" spans="1:25" ht="12">
      <c r="A10" t="s">
        <v>103</v>
      </c>
      <c r="C10" s="28">
        <v>0.015</v>
      </c>
      <c r="D10" s="20">
        <f>D9*C10</f>
        <v>507102.08284407854</v>
      </c>
      <c r="F10" t="s">
        <v>66</v>
      </c>
      <c r="I10" s="17" t="s">
        <v>71</v>
      </c>
      <c r="J10" s="17" t="s">
        <v>71</v>
      </c>
      <c r="K10" s="4">
        <f>SUM(Q7:S7)</f>
        <v>1683</v>
      </c>
      <c r="L10" s="4">
        <v>625</v>
      </c>
      <c r="N10" t="s">
        <v>36</v>
      </c>
      <c r="Q10" s="4">
        <v>880800</v>
      </c>
      <c r="R10" s="4">
        <v>907500</v>
      </c>
      <c r="S10" s="4">
        <v>1293600</v>
      </c>
      <c r="Y10" s="4"/>
    </row>
    <row r="11" spans="1:25" ht="12">
      <c r="A11" t="s">
        <v>96</v>
      </c>
      <c r="D11" s="3">
        <f>SUM(D9:D10)</f>
        <v>34313907.60578265</v>
      </c>
      <c r="F11" t="s">
        <v>43</v>
      </c>
      <c r="I11" s="17" t="s">
        <v>71</v>
      </c>
      <c r="J11" s="17" t="s">
        <v>71</v>
      </c>
      <c r="K11" s="17">
        <f>K9/K10</f>
        <v>56185.38324420677</v>
      </c>
      <c r="L11" s="17">
        <v>25000</v>
      </c>
      <c r="N11" t="s">
        <v>37</v>
      </c>
      <c r="Q11" s="16">
        <f>Q9/Q10</f>
        <v>33.287920072661215</v>
      </c>
      <c r="R11" s="16">
        <f>R9/R10</f>
        <v>35.570247933884296</v>
      </c>
      <c r="S11" s="16">
        <f>S9/S10</f>
        <v>25.479282622139763</v>
      </c>
      <c r="X11" s="4"/>
      <c r="Y11" s="4"/>
    </row>
    <row r="12" spans="6:25" ht="12">
      <c r="F12" t="s">
        <v>13</v>
      </c>
      <c r="I12" s="7">
        <v>2008</v>
      </c>
      <c r="J12" s="7">
        <v>2008</v>
      </c>
      <c r="K12" s="7">
        <v>2008</v>
      </c>
      <c r="L12" s="7">
        <v>2008</v>
      </c>
      <c r="N12" s="4" t="s">
        <v>69</v>
      </c>
      <c r="Q12" s="4">
        <f>Q10/Q7</f>
        <v>1201.637107776262</v>
      </c>
      <c r="R12" s="4">
        <f>R10/R7</f>
        <v>1686.8029739776953</v>
      </c>
      <c r="S12" s="4">
        <f>S10/S7</f>
        <v>3139.8058252427186</v>
      </c>
      <c r="V12" s="7"/>
      <c r="W12" s="7"/>
      <c r="X12" s="16"/>
      <c r="Y12" s="16"/>
    </row>
    <row r="13" spans="1:25" ht="12">
      <c r="A13" t="s">
        <v>90</v>
      </c>
      <c r="D13" s="4">
        <f>SUM(I7:L7)</f>
        <v>5616900</v>
      </c>
      <c r="F13" t="s">
        <v>12</v>
      </c>
      <c r="I13" s="4">
        <v>7</v>
      </c>
      <c r="J13" s="4">
        <v>7</v>
      </c>
      <c r="K13" s="4">
        <v>7</v>
      </c>
      <c r="L13" s="4">
        <v>1</v>
      </c>
      <c r="V13" s="4"/>
      <c r="W13" s="4"/>
      <c r="X13" s="4"/>
      <c r="Y13" s="4"/>
    </row>
    <row r="14" spans="1:17" ht="12">
      <c r="A14" t="s">
        <v>91</v>
      </c>
      <c r="D14" s="16">
        <f>D6/D13</f>
        <v>4.136392850148659</v>
      </c>
      <c r="F14" t="s">
        <v>38</v>
      </c>
      <c r="I14" s="4">
        <f>I7/I13</f>
        <v>271428.5714285714</v>
      </c>
      <c r="J14" s="4">
        <f>J7/J13</f>
        <v>19285.714285714286</v>
      </c>
      <c r="K14" s="4">
        <f>K7/K13</f>
        <v>440271.4285714286</v>
      </c>
      <c r="L14" s="4">
        <f>L7/L13</f>
        <v>500000</v>
      </c>
      <c r="N14" t="s">
        <v>70</v>
      </c>
      <c r="Q14" s="16">
        <f>((Q11*Q10)+(R11*R10)+(S11*S10))/(Q10+R10+S10)</f>
        <v>30.682371264479706</v>
      </c>
    </row>
    <row r="15" spans="6:18" ht="12">
      <c r="F15" t="s">
        <v>93</v>
      </c>
      <c r="I15" s="3">
        <f>I9/I13</f>
        <v>8821428.57142857</v>
      </c>
      <c r="J15" s="3">
        <f>J9/J13</f>
        <v>578571.4285714285</v>
      </c>
      <c r="K15" s="3">
        <f>K9/K13</f>
        <v>13508571.42857143</v>
      </c>
      <c r="L15" s="3">
        <f>L9/L13</f>
        <v>15625000</v>
      </c>
      <c r="N15" s="3" t="s">
        <v>72</v>
      </c>
      <c r="O15" s="3"/>
      <c r="P15" s="3"/>
      <c r="Q15" s="3">
        <f>((Q8*Q7)+(R8*R7)+(S8*S7))/(Q7+R7+S7)</f>
        <v>56185.38324420677</v>
      </c>
      <c r="R15" s="3"/>
    </row>
    <row r="16" spans="1:17" ht="12">
      <c r="A16" t="s">
        <v>56</v>
      </c>
      <c r="D16" s="3">
        <v>638250</v>
      </c>
      <c r="E16" s="16"/>
      <c r="N16" s="3"/>
      <c r="O16" s="3"/>
      <c r="P16" s="3"/>
      <c r="Q16" s="3"/>
    </row>
    <row r="17" spans="1:12" ht="12">
      <c r="A17" t="s">
        <v>44</v>
      </c>
      <c r="D17" s="16">
        <f>D16/D13</f>
        <v>0.11363029429044491</v>
      </c>
      <c r="F17" t="s">
        <v>58</v>
      </c>
      <c r="I17" s="3">
        <f>0*I14</f>
        <v>0</v>
      </c>
      <c r="J17" s="3">
        <f>0*J14</f>
        <v>0</v>
      </c>
      <c r="K17" s="3">
        <f>0*K14</f>
        <v>0</v>
      </c>
      <c r="L17" s="3">
        <f>0*L14</f>
        <v>0</v>
      </c>
    </row>
    <row r="18" spans="1:12" ht="12">
      <c r="A18" t="s">
        <v>46</v>
      </c>
      <c r="D18" s="3">
        <v>5000</v>
      </c>
      <c r="F18" t="s">
        <v>57</v>
      </c>
      <c r="I18" s="3">
        <f>I17/I13</f>
        <v>0</v>
      </c>
      <c r="J18" s="3">
        <f>J17/J13</f>
        <v>0</v>
      </c>
      <c r="K18" s="3">
        <f>K17/K13</f>
        <v>0</v>
      </c>
      <c r="L18" s="3">
        <f>L17/L13</f>
        <v>0</v>
      </c>
    </row>
    <row r="19" spans="1:4" ht="12">
      <c r="A19" t="s">
        <v>45</v>
      </c>
      <c r="D19" s="16">
        <v>0</v>
      </c>
    </row>
    <row r="20" spans="6:9" ht="12">
      <c r="F20" t="s">
        <v>102</v>
      </c>
      <c r="I20" s="21">
        <v>0</v>
      </c>
    </row>
    <row r="21" spans="1:5" ht="12">
      <c r="A21" t="s">
        <v>75</v>
      </c>
      <c r="D21" s="26">
        <f>SUM(E119:R119)</f>
        <v>-60045000</v>
      </c>
      <c r="E21" s="24" t="s">
        <v>100</v>
      </c>
    </row>
    <row r="22" spans="1:4" ht="12">
      <c r="A22" t="s">
        <v>11</v>
      </c>
      <c r="D22" s="6">
        <v>0.03</v>
      </c>
    </row>
    <row r="23" spans="1:4" ht="12">
      <c r="A23" t="s">
        <v>10</v>
      </c>
      <c r="D23" s="6">
        <v>0.05</v>
      </c>
    </row>
    <row r="26" spans="1:22" ht="12">
      <c r="A26" s="8" t="s">
        <v>14</v>
      </c>
      <c r="B26" s="8"/>
      <c r="C26" s="8"/>
      <c r="D26" s="8"/>
      <c r="E26" s="8">
        <v>2001</v>
      </c>
      <c r="F26" s="9">
        <v>2002</v>
      </c>
      <c r="G26" s="8">
        <v>2003</v>
      </c>
      <c r="H26" s="9">
        <v>2004</v>
      </c>
      <c r="I26" s="8">
        <v>2005</v>
      </c>
      <c r="J26" s="9">
        <v>2006</v>
      </c>
      <c r="K26" s="8">
        <v>2007</v>
      </c>
      <c r="L26" s="9">
        <v>2008</v>
      </c>
      <c r="M26" s="8">
        <v>2009</v>
      </c>
      <c r="N26" s="9">
        <v>2010</v>
      </c>
      <c r="O26" s="8">
        <v>2011</v>
      </c>
      <c r="P26" s="9">
        <v>2012</v>
      </c>
      <c r="Q26" s="8">
        <v>2013</v>
      </c>
      <c r="R26" s="9">
        <v>2014</v>
      </c>
      <c r="S26" s="8">
        <v>2015</v>
      </c>
      <c r="T26" s="9">
        <v>2016</v>
      </c>
      <c r="U26" s="8">
        <v>2017</v>
      </c>
      <c r="V26" s="9">
        <v>2018</v>
      </c>
    </row>
    <row r="27" spans="1:22" ht="12">
      <c r="A27" t="s">
        <v>15</v>
      </c>
      <c r="E27">
        <v>0</v>
      </c>
      <c r="F27" s="7">
        <v>1</v>
      </c>
      <c r="G27" s="7">
        <v>2</v>
      </c>
      <c r="H27" s="7">
        <v>3</v>
      </c>
      <c r="I27" s="7">
        <v>4</v>
      </c>
      <c r="J27" s="7">
        <v>5</v>
      </c>
      <c r="K27" s="7">
        <v>6</v>
      </c>
      <c r="L27" s="7">
        <v>7</v>
      </c>
      <c r="M27" s="7">
        <v>8</v>
      </c>
      <c r="N27" s="7">
        <v>9</v>
      </c>
      <c r="O27" s="7">
        <v>10</v>
      </c>
      <c r="P27" s="7">
        <v>11</v>
      </c>
      <c r="Q27" s="7">
        <v>12</v>
      </c>
      <c r="R27" s="7">
        <v>13</v>
      </c>
      <c r="S27" s="7">
        <v>14</v>
      </c>
      <c r="T27" s="7">
        <v>15</v>
      </c>
      <c r="U27" s="7">
        <v>16</v>
      </c>
      <c r="V27" s="7">
        <v>17</v>
      </c>
    </row>
    <row r="29" ht="12">
      <c r="A29" s="5" t="s">
        <v>16</v>
      </c>
    </row>
    <row r="30" spans="1:22" ht="12">
      <c r="A30" s="12" t="s">
        <v>73</v>
      </c>
      <c r="E30" s="4">
        <v>0</v>
      </c>
      <c r="F30" s="4">
        <v>1167000</v>
      </c>
      <c r="G30" s="4">
        <v>1176000</v>
      </c>
      <c r="H30" s="4">
        <v>1185000</v>
      </c>
      <c r="I30" s="4">
        <v>1195000</v>
      </c>
      <c r="J30" s="4">
        <v>1204500</v>
      </c>
      <c r="K30" s="4">
        <v>1214000</v>
      </c>
      <c r="L30" s="4">
        <v>1224000</v>
      </c>
      <c r="M30" s="4">
        <v>1234000</v>
      </c>
      <c r="N30" s="4">
        <v>1244000</v>
      </c>
      <c r="O30" s="4">
        <v>1254000</v>
      </c>
      <c r="P30" s="4">
        <v>1264000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</row>
    <row r="31" spans="1:22" ht="12">
      <c r="A31" s="12" t="s">
        <v>77</v>
      </c>
      <c r="E31" s="4">
        <v>0</v>
      </c>
      <c r="F31" s="4">
        <v>477000</v>
      </c>
      <c r="G31" s="4">
        <v>542000</v>
      </c>
      <c r="H31" s="4">
        <v>560000</v>
      </c>
      <c r="I31" s="4">
        <v>6282150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</row>
    <row r="32" spans="1:22" ht="12">
      <c r="A32" t="s">
        <v>17</v>
      </c>
      <c r="E32" s="4">
        <f aca="true" t="shared" si="0" ref="E32:V32">IF(E26&lt;$I$12,0,IF(E26&gt;=$I$12+$I$13,0,$I$15*(1+$D$22)^(E27-$E$27)))</f>
        <v>0</v>
      </c>
      <c r="F32" s="4">
        <f t="shared" si="0"/>
        <v>0</v>
      </c>
      <c r="G32" s="4">
        <f t="shared" si="0"/>
        <v>0</v>
      </c>
      <c r="H32" s="4">
        <f t="shared" si="0"/>
        <v>0</v>
      </c>
      <c r="I32" s="4">
        <f t="shared" si="0"/>
        <v>0</v>
      </c>
      <c r="J32" s="4">
        <f t="shared" si="0"/>
        <v>0</v>
      </c>
      <c r="K32" s="4">
        <f t="shared" si="0"/>
        <v>0</v>
      </c>
      <c r="L32" s="4">
        <f t="shared" si="0"/>
        <v>10849244.455712246</v>
      </c>
      <c r="M32" s="4">
        <f t="shared" si="0"/>
        <v>11174721.78938361</v>
      </c>
      <c r="N32" s="4">
        <f t="shared" si="0"/>
        <v>11509963.44306512</v>
      </c>
      <c r="O32" s="4">
        <f t="shared" si="0"/>
        <v>11855262.346357074</v>
      </c>
      <c r="P32" s="4">
        <f t="shared" si="0"/>
        <v>12210920.216747787</v>
      </c>
      <c r="Q32" s="4">
        <f t="shared" si="0"/>
        <v>12577247.823250217</v>
      </c>
      <c r="R32" s="4">
        <f t="shared" si="0"/>
        <v>12954565.257947724</v>
      </c>
      <c r="S32" s="4">
        <f t="shared" si="0"/>
        <v>0</v>
      </c>
      <c r="T32" s="4">
        <f t="shared" si="0"/>
        <v>0</v>
      </c>
      <c r="U32" s="4">
        <f t="shared" si="0"/>
        <v>0</v>
      </c>
      <c r="V32" s="4">
        <f t="shared" si="0"/>
        <v>0</v>
      </c>
    </row>
    <row r="33" spans="1:22" ht="12">
      <c r="A33" t="s">
        <v>18</v>
      </c>
      <c r="E33" s="4">
        <f aca="true" t="shared" si="1" ref="E33:V33">IF(E26&lt;$J$12,0,IF(E26&gt;=$J$12+$J$13,0,$J$15*(1+$D$22)^(E27-$E$27)))</f>
        <v>0</v>
      </c>
      <c r="F33" s="4">
        <f t="shared" si="1"/>
        <v>0</v>
      </c>
      <c r="G33" s="4">
        <f t="shared" si="1"/>
        <v>0</v>
      </c>
      <c r="H33" s="4">
        <f t="shared" si="1"/>
        <v>0</v>
      </c>
      <c r="I33" s="4">
        <f t="shared" si="1"/>
        <v>0</v>
      </c>
      <c r="J33" s="4">
        <f t="shared" si="1"/>
        <v>0</v>
      </c>
      <c r="K33" s="4">
        <f t="shared" si="1"/>
        <v>0</v>
      </c>
      <c r="L33" s="4">
        <f t="shared" si="1"/>
        <v>711569.8792815319</v>
      </c>
      <c r="M33" s="4">
        <f t="shared" si="1"/>
        <v>732916.9756599778</v>
      </c>
      <c r="N33" s="4">
        <f t="shared" si="1"/>
        <v>754904.4849297771</v>
      </c>
      <c r="O33" s="4">
        <f t="shared" si="1"/>
        <v>777551.6194776704</v>
      </c>
      <c r="P33" s="4">
        <f t="shared" si="1"/>
        <v>800878.1680620005</v>
      </c>
      <c r="Q33" s="4">
        <f t="shared" si="1"/>
        <v>824904.5131038604</v>
      </c>
      <c r="R33" s="4">
        <f t="shared" si="1"/>
        <v>849651.6484969762</v>
      </c>
      <c r="S33" s="4">
        <f t="shared" si="1"/>
        <v>0</v>
      </c>
      <c r="T33" s="4">
        <f t="shared" si="1"/>
        <v>0</v>
      </c>
      <c r="U33" s="4">
        <f t="shared" si="1"/>
        <v>0</v>
      </c>
      <c r="V33" s="4">
        <f t="shared" si="1"/>
        <v>0</v>
      </c>
    </row>
    <row r="34" spans="1:22" ht="12">
      <c r="A34" t="s">
        <v>19</v>
      </c>
      <c r="E34" s="4">
        <f aca="true" t="shared" si="2" ref="E34:V34">IF(E26&lt;$K$12,0,IF(E26&gt;=$K$12+$K$13,0,$K$15*(1+$D$22)^(E27-$E$27)))</f>
        <v>0</v>
      </c>
      <c r="F34" s="4">
        <f t="shared" si="2"/>
        <v>0</v>
      </c>
      <c r="G34" s="4">
        <f t="shared" si="2"/>
        <v>0</v>
      </c>
      <c r="H34" s="4">
        <f t="shared" si="2"/>
        <v>0</v>
      </c>
      <c r="I34" s="4">
        <f t="shared" si="2"/>
        <v>0</v>
      </c>
      <c r="J34" s="4">
        <f t="shared" si="2"/>
        <v>0</v>
      </c>
      <c r="K34" s="4">
        <f t="shared" si="2"/>
        <v>0</v>
      </c>
      <c r="L34" s="4">
        <f t="shared" si="2"/>
        <v>16613838.959225101</v>
      </c>
      <c r="M34" s="4">
        <f t="shared" si="2"/>
        <v>17112254.128001854</v>
      </c>
      <c r="N34" s="4">
        <f t="shared" si="2"/>
        <v>17625621.75184191</v>
      </c>
      <c r="O34" s="4">
        <f t="shared" si="2"/>
        <v>18154390.404397167</v>
      </c>
      <c r="P34" s="4">
        <f t="shared" si="2"/>
        <v>18699022.11652908</v>
      </c>
      <c r="Q34" s="4">
        <f t="shared" si="2"/>
        <v>19259992.78002495</v>
      </c>
      <c r="R34" s="4">
        <f t="shared" si="2"/>
        <v>19837792.563425697</v>
      </c>
      <c r="S34" s="4">
        <f t="shared" si="2"/>
        <v>0</v>
      </c>
      <c r="T34" s="4">
        <f t="shared" si="2"/>
        <v>0</v>
      </c>
      <c r="U34" s="4">
        <f t="shared" si="2"/>
        <v>0</v>
      </c>
      <c r="V34" s="4">
        <f t="shared" si="2"/>
        <v>0</v>
      </c>
    </row>
    <row r="35" spans="1:22" ht="12">
      <c r="A35" t="s">
        <v>20</v>
      </c>
      <c r="E35" s="11">
        <f aca="true" t="shared" si="3" ref="E35:V35">IF(E26&lt;$L$12,0,IF(E26&gt;=$L$12+$L$13,0,$L$15*(1+$D$22)^(E27-$E$27)))</f>
        <v>0</v>
      </c>
      <c r="F35" s="11">
        <f t="shared" si="3"/>
        <v>0</v>
      </c>
      <c r="G35" s="11">
        <f t="shared" si="3"/>
        <v>0</v>
      </c>
      <c r="H35" s="11">
        <f t="shared" si="3"/>
        <v>0</v>
      </c>
      <c r="I35" s="11">
        <f t="shared" si="3"/>
        <v>0</v>
      </c>
      <c r="J35" s="11">
        <f t="shared" si="3"/>
        <v>0</v>
      </c>
      <c r="K35" s="11">
        <f t="shared" si="3"/>
        <v>0</v>
      </c>
      <c r="L35" s="11">
        <f t="shared" si="3"/>
        <v>19216779.147263594</v>
      </c>
      <c r="M35" s="11">
        <f t="shared" si="3"/>
        <v>0</v>
      </c>
      <c r="N35" s="11">
        <f t="shared" si="3"/>
        <v>0</v>
      </c>
      <c r="O35" s="11">
        <f t="shared" si="3"/>
        <v>0</v>
      </c>
      <c r="P35" s="11">
        <f t="shared" si="3"/>
        <v>0</v>
      </c>
      <c r="Q35" s="11">
        <f t="shared" si="3"/>
        <v>0</v>
      </c>
      <c r="R35" s="11">
        <f t="shared" si="3"/>
        <v>0</v>
      </c>
      <c r="S35" s="11">
        <f t="shared" si="3"/>
        <v>0</v>
      </c>
      <c r="T35" s="11">
        <f t="shared" si="3"/>
        <v>0</v>
      </c>
      <c r="U35" s="11">
        <f t="shared" si="3"/>
        <v>0</v>
      </c>
      <c r="V35" s="11">
        <f t="shared" si="3"/>
        <v>0</v>
      </c>
    </row>
    <row r="36" spans="1:22" ht="12">
      <c r="A36" t="s">
        <v>21</v>
      </c>
      <c r="E36" s="4">
        <f aca="true" t="shared" si="4" ref="E36:T36">SUM(E30:E35)</f>
        <v>0</v>
      </c>
      <c r="F36" s="4">
        <f t="shared" si="4"/>
        <v>1644000</v>
      </c>
      <c r="G36" s="4">
        <f t="shared" si="4"/>
        <v>1718000</v>
      </c>
      <c r="H36" s="4">
        <f t="shared" si="4"/>
        <v>1745000</v>
      </c>
      <c r="I36" s="4">
        <f t="shared" si="4"/>
        <v>7477150</v>
      </c>
      <c r="J36" s="4">
        <f t="shared" si="4"/>
        <v>1204500</v>
      </c>
      <c r="K36" s="4">
        <f t="shared" si="4"/>
        <v>1214000</v>
      </c>
      <c r="L36" s="4">
        <f t="shared" si="4"/>
        <v>48615432.44148247</v>
      </c>
      <c r="M36" s="4">
        <f t="shared" si="4"/>
        <v>30253892.89304544</v>
      </c>
      <c r="N36" s="4">
        <f t="shared" si="4"/>
        <v>31134489.67983681</v>
      </c>
      <c r="O36" s="4">
        <f t="shared" si="4"/>
        <v>32041204.37023191</v>
      </c>
      <c r="P36" s="4">
        <f t="shared" si="4"/>
        <v>32974820.50133887</v>
      </c>
      <c r="Q36" s="4">
        <f t="shared" si="4"/>
        <v>32662145.116379026</v>
      </c>
      <c r="R36" s="4">
        <f t="shared" si="4"/>
        <v>33642009.469870396</v>
      </c>
      <c r="S36" s="4">
        <f t="shared" si="4"/>
        <v>0</v>
      </c>
      <c r="T36" s="4">
        <f t="shared" si="4"/>
        <v>0</v>
      </c>
      <c r="U36" s="4">
        <f>SUM(U30:U35)</f>
        <v>0</v>
      </c>
      <c r="V36" s="4">
        <f>SUM(V30:V35)</f>
        <v>0</v>
      </c>
    </row>
    <row r="37" spans="1:22" ht="12">
      <c r="A37" t="s">
        <v>10</v>
      </c>
      <c r="E37" s="11">
        <f aca="true" t="shared" si="5" ref="E37:V37">-(SUM(E32:E35)*$D$23)</f>
        <v>0</v>
      </c>
      <c r="F37" s="11">
        <f t="shared" si="5"/>
        <v>0</v>
      </c>
      <c r="G37" s="11">
        <f t="shared" si="5"/>
        <v>0</v>
      </c>
      <c r="H37" s="11">
        <f t="shared" si="5"/>
        <v>0</v>
      </c>
      <c r="I37" s="11">
        <f t="shared" si="5"/>
        <v>0</v>
      </c>
      <c r="J37" s="11">
        <f t="shared" si="5"/>
        <v>0</v>
      </c>
      <c r="K37" s="11">
        <f t="shared" si="5"/>
        <v>0</v>
      </c>
      <c r="L37" s="11">
        <f t="shared" si="5"/>
        <v>-2369571.6220741235</v>
      </c>
      <c r="M37" s="11">
        <f t="shared" si="5"/>
        <v>-1450994.644652272</v>
      </c>
      <c r="N37" s="11">
        <f t="shared" si="5"/>
        <v>-1494524.4839918406</v>
      </c>
      <c r="O37" s="11">
        <f t="shared" si="5"/>
        <v>-1539360.2185115956</v>
      </c>
      <c r="P37" s="11">
        <f t="shared" si="5"/>
        <v>-1585541.0250669436</v>
      </c>
      <c r="Q37" s="11">
        <f t="shared" si="5"/>
        <v>-1633107.2558189514</v>
      </c>
      <c r="R37" s="11">
        <f t="shared" si="5"/>
        <v>-1682100.47349352</v>
      </c>
      <c r="S37" s="11">
        <f t="shared" si="5"/>
        <v>0</v>
      </c>
      <c r="T37" s="11">
        <f t="shared" si="5"/>
        <v>0</v>
      </c>
      <c r="U37" s="11">
        <f t="shared" si="5"/>
        <v>0</v>
      </c>
      <c r="V37" s="11">
        <f t="shared" si="5"/>
        <v>0</v>
      </c>
    </row>
    <row r="38" spans="1:22" ht="12">
      <c r="A38" t="s">
        <v>27</v>
      </c>
      <c r="E38" s="4">
        <f>SUM(E36:E37)</f>
        <v>0</v>
      </c>
      <c r="F38" s="4">
        <f aca="true" t="shared" si="6" ref="F38:T38">SUM(F36:F37)</f>
        <v>1644000</v>
      </c>
      <c r="G38" s="4">
        <f t="shared" si="6"/>
        <v>1718000</v>
      </c>
      <c r="H38" s="4">
        <f t="shared" si="6"/>
        <v>1745000</v>
      </c>
      <c r="I38" s="4">
        <f t="shared" si="6"/>
        <v>7477150</v>
      </c>
      <c r="J38" s="4">
        <f t="shared" si="6"/>
        <v>1204500</v>
      </c>
      <c r="K38" s="4">
        <f t="shared" si="6"/>
        <v>1214000</v>
      </c>
      <c r="L38" s="4">
        <f t="shared" si="6"/>
        <v>46245860.81940834</v>
      </c>
      <c r="M38" s="4">
        <f t="shared" si="6"/>
        <v>28802898.248393167</v>
      </c>
      <c r="N38" s="4">
        <f t="shared" si="6"/>
        <v>29639965.19584497</v>
      </c>
      <c r="O38" s="4">
        <f t="shared" si="6"/>
        <v>30501844.151720315</v>
      </c>
      <c r="P38" s="4">
        <f t="shared" si="6"/>
        <v>31389279.476271927</v>
      </c>
      <c r="Q38" s="4">
        <f t="shared" si="6"/>
        <v>31029037.860560074</v>
      </c>
      <c r="R38" s="4">
        <f t="shared" si="6"/>
        <v>31959908.996376876</v>
      </c>
      <c r="S38" s="4">
        <f t="shared" si="6"/>
        <v>0</v>
      </c>
      <c r="T38" s="4">
        <f t="shared" si="6"/>
        <v>0</v>
      </c>
      <c r="U38" s="4">
        <f>SUM(U36:U37)</f>
        <v>0</v>
      </c>
      <c r="V38" s="4">
        <f>SUM(V36:V37)</f>
        <v>0</v>
      </c>
    </row>
    <row r="40" ht="12">
      <c r="A40" s="5" t="s">
        <v>23</v>
      </c>
    </row>
    <row r="41" spans="1:22" ht="12">
      <c r="A41" t="s">
        <v>24</v>
      </c>
      <c r="E41" s="4">
        <f aca="true" t="shared" si="7" ref="E41:V41">-(E114*$D$17)*((1+$D$22)^(E27-$E$27))</f>
        <v>0</v>
      </c>
      <c r="F41" s="4">
        <f t="shared" si="7"/>
        <v>-657397.5</v>
      </c>
      <c r="G41" s="4">
        <f t="shared" si="7"/>
        <v>-677119.4249999999</v>
      </c>
      <c r="H41" s="4">
        <f t="shared" si="7"/>
        <v>-697433.00775</v>
      </c>
      <c r="I41" s="4">
        <f t="shared" si="7"/>
        <v>-718355.9979824999</v>
      </c>
      <c r="J41" s="4">
        <f t="shared" si="7"/>
        <v>-739906.6779219749</v>
      </c>
      <c r="K41" s="4">
        <f t="shared" si="7"/>
        <v>-762103.8782596342</v>
      </c>
      <c r="L41" s="4">
        <f t="shared" si="7"/>
        <v>-784966.9946074233</v>
      </c>
      <c r="M41" s="4">
        <f t="shared" si="7"/>
        <v>-631323.6650335225</v>
      </c>
      <c r="N41" s="4">
        <f t="shared" si="7"/>
        <v>-541886.1458204403</v>
      </c>
      <c r="O41" s="4">
        <f t="shared" si="7"/>
        <v>-446514.18415604276</v>
      </c>
      <c r="P41" s="4">
        <f t="shared" si="7"/>
        <v>-344932.207260543</v>
      </c>
      <c r="Q41" s="4">
        <f t="shared" si="7"/>
        <v>-236853.44898557288</v>
      </c>
      <c r="R41" s="4">
        <f t="shared" si="7"/>
        <v>-121979.52622757002</v>
      </c>
      <c r="S41" s="4">
        <f t="shared" si="7"/>
        <v>0</v>
      </c>
      <c r="T41" s="4">
        <f t="shared" si="7"/>
        <v>0</v>
      </c>
      <c r="U41" s="4">
        <f t="shared" si="7"/>
        <v>0</v>
      </c>
      <c r="V41" s="4">
        <f t="shared" si="7"/>
        <v>0</v>
      </c>
    </row>
    <row r="42" spans="1:22" ht="12">
      <c r="A42" t="s">
        <v>9</v>
      </c>
      <c r="E42" s="4">
        <f aca="true" t="shared" si="8" ref="E42:V42">IF(E114=0,0,-$D$18)</f>
        <v>0</v>
      </c>
      <c r="F42" s="4">
        <f t="shared" si="8"/>
        <v>-5000</v>
      </c>
      <c r="G42" s="4">
        <f t="shared" si="8"/>
        <v>-5000</v>
      </c>
      <c r="H42" s="4">
        <f t="shared" si="8"/>
        <v>-5000</v>
      </c>
      <c r="I42" s="4">
        <f t="shared" si="8"/>
        <v>-5000</v>
      </c>
      <c r="J42" s="4">
        <f t="shared" si="8"/>
        <v>-5000</v>
      </c>
      <c r="K42" s="4">
        <f t="shared" si="8"/>
        <v>-5000</v>
      </c>
      <c r="L42" s="4">
        <f t="shared" si="8"/>
        <v>-5000</v>
      </c>
      <c r="M42" s="4">
        <f t="shared" si="8"/>
        <v>-5000</v>
      </c>
      <c r="N42" s="4">
        <f t="shared" si="8"/>
        <v>-5000</v>
      </c>
      <c r="O42" s="4">
        <f t="shared" si="8"/>
        <v>-5000</v>
      </c>
      <c r="P42" s="4">
        <f t="shared" si="8"/>
        <v>-5000</v>
      </c>
      <c r="Q42" s="4">
        <f t="shared" si="8"/>
        <v>-5000</v>
      </c>
      <c r="R42" s="4">
        <f t="shared" si="8"/>
        <v>-5000</v>
      </c>
      <c r="S42" s="4">
        <f t="shared" si="8"/>
        <v>0</v>
      </c>
      <c r="T42" s="4">
        <f t="shared" si="8"/>
        <v>0</v>
      </c>
      <c r="U42" s="4">
        <f t="shared" si="8"/>
        <v>0</v>
      </c>
      <c r="V42" s="4">
        <f t="shared" si="8"/>
        <v>0</v>
      </c>
    </row>
    <row r="43" spans="1:22" ht="12">
      <c r="A43" t="s">
        <v>25</v>
      </c>
      <c r="E43" s="11">
        <f aca="true" t="shared" si="9" ref="E43:V43">-(E114*$D$19)*((1+$D$22)^(E27-$E$27))</f>
        <v>0</v>
      </c>
      <c r="F43" s="11">
        <f t="shared" si="9"/>
        <v>0</v>
      </c>
      <c r="G43" s="11">
        <f t="shared" si="9"/>
        <v>0</v>
      </c>
      <c r="H43" s="11">
        <f t="shared" si="9"/>
        <v>0</v>
      </c>
      <c r="I43" s="11">
        <f t="shared" si="9"/>
        <v>0</v>
      </c>
      <c r="J43" s="11">
        <f t="shared" si="9"/>
        <v>0</v>
      </c>
      <c r="K43" s="11">
        <f t="shared" si="9"/>
        <v>0</v>
      </c>
      <c r="L43" s="11">
        <f t="shared" si="9"/>
        <v>0</v>
      </c>
      <c r="M43" s="11">
        <f t="shared" si="9"/>
        <v>0</v>
      </c>
      <c r="N43" s="11">
        <f t="shared" si="9"/>
        <v>0</v>
      </c>
      <c r="O43" s="11">
        <f t="shared" si="9"/>
        <v>0</v>
      </c>
      <c r="P43" s="11">
        <f t="shared" si="9"/>
        <v>0</v>
      </c>
      <c r="Q43" s="11">
        <f t="shared" si="9"/>
        <v>0</v>
      </c>
      <c r="R43" s="11">
        <f t="shared" si="9"/>
        <v>0</v>
      </c>
      <c r="S43" s="11">
        <f t="shared" si="9"/>
        <v>0</v>
      </c>
      <c r="T43" s="11">
        <f t="shared" si="9"/>
        <v>0</v>
      </c>
      <c r="U43" s="11">
        <f t="shared" si="9"/>
        <v>0</v>
      </c>
      <c r="V43" s="11">
        <f t="shared" si="9"/>
        <v>0</v>
      </c>
    </row>
    <row r="44" spans="1:22" ht="12">
      <c r="A44" t="s">
        <v>26</v>
      </c>
      <c r="E44" s="4">
        <f>SUM(E41:E43)</f>
        <v>0</v>
      </c>
      <c r="F44" s="4">
        <f aca="true" t="shared" si="10" ref="F44:T44">SUM(F41:F43)</f>
        <v>-662397.5</v>
      </c>
      <c r="G44" s="4">
        <f t="shared" si="10"/>
        <v>-682119.4249999999</v>
      </c>
      <c r="H44" s="4">
        <f t="shared" si="10"/>
        <v>-702433.00775</v>
      </c>
      <c r="I44" s="4">
        <f t="shared" si="10"/>
        <v>-723355.9979824999</v>
      </c>
      <c r="J44" s="4">
        <f t="shared" si="10"/>
        <v>-744906.6779219749</v>
      </c>
      <c r="K44" s="4">
        <f t="shared" si="10"/>
        <v>-767103.8782596342</v>
      </c>
      <c r="L44" s="4">
        <f t="shared" si="10"/>
        <v>-789966.9946074233</v>
      </c>
      <c r="M44" s="4">
        <f t="shared" si="10"/>
        <v>-636323.6650335225</v>
      </c>
      <c r="N44" s="4">
        <f t="shared" si="10"/>
        <v>-546886.1458204403</v>
      </c>
      <c r="O44" s="4">
        <f t="shared" si="10"/>
        <v>-451514.18415604276</v>
      </c>
      <c r="P44" s="4">
        <f t="shared" si="10"/>
        <v>-349932.207260543</v>
      </c>
      <c r="Q44" s="4">
        <f t="shared" si="10"/>
        <v>-241853.44898557288</v>
      </c>
      <c r="R44" s="4">
        <f t="shared" si="10"/>
        <v>-126979.52622757002</v>
      </c>
      <c r="S44" s="4">
        <f t="shared" si="10"/>
        <v>0</v>
      </c>
      <c r="T44" s="4">
        <f t="shared" si="10"/>
        <v>0</v>
      </c>
      <c r="U44" s="4">
        <f>SUM(U41:U43)</f>
        <v>0</v>
      </c>
      <c r="V44" s="4">
        <f>SUM(V41:V43)</f>
        <v>0</v>
      </c>
    </row>
    <row r="46" ht="12">
      <c r="A46" s="5" t="s">
        <v>28</v>
      </c>
    </row>
    <row r="47" spans="1:22" ht="12">
      <c r="A47" t="s">
        <v>7</v>
      </c>
      <c r="E47" s="4">
        <f>-D6</f>
        <v>-23233705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</row>
    <row r="48" spans="1:22" ht="12">
      <c r="A48" t="s">
        <v>78</v>
      </c>
      <c r="E48" s="4">
        <f>-D7</f>
        <v>-5391860.546329706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</row>
    <row r="49" spans="1:22" ht="12">
      <c r="A49" t="s">
        <v>79</v>
      </c>
      <c r="E49" s="4">
        <f>-D8</f>
        <v>-5181239.976608866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</row>
    <row r="50" spans="1:22" ht="12">
      <c r="A50" t="s">
        <v>104</v>
      </c>
      <c r="E50" s="4">
        <f>-D10</f>
        <v>-507102.08284407854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</row>
    <row r="51" spans="1:22" ht="12">
      <c r="A51" s="12" t="s">
        <v>22</v>
      </c>
      <c r="E51" s="4">
        <f>E121</f>
        <v>0</v>
      </c>
      <c r="F51" s="4">
        <f aca="true" t="shared" si="11" ref="F51:T51">F121</f>
        <v>-1390500</v>
      </c>
      <c r="G51" s="4">
        <f t="shared" si="11"/>
        <v>0</v>
      </c>
      <c r="H51" s="4">
        <f t="shared" si="11"/>
        <v>-2458635.75</v>
      </c>
      <c r="I51" s="4">
        <f t="shared" si="11"/>
        <v>-5289891.407000001</v>
      </c>
      <c r="J51" s="4">
        <f t="shared" si="11"/>
        <v>-12404232.595010001</v>
      </c>
      <c r="K51" s="4">
        <f t="shared" si="11"/>
        <v>-22030264.870960053</v>
      </c>
      <c r="L51" s="4">
        <f t="shared" si="11"/>
        <v>-11001221.726225464</v>
      </c>
      <c r="M51" s="4">
        <f t="shared" si="11"/>
        <v>-10134160.651100932</v>
      </c>
      <c r="N51" s="4">
        <f t="shared" si="11"/>
        <v>-3914319.5514877345</v>
      </c>
      <c r="O51" s="4">
        <f t="shared" si="11"/>
        <v>-873545.6465736794</v>
      </c>
      <c r="P51" s="4">
        <f t="shared" si="11"/>
        <v>-1384233.870724446</v>
      </c>
      <c r="Q51" s="4">
        <f t="shared" si="11"/>
        <v>-712880.4434230897</v>
      </c>
      <c r="R51" s="4">
        <f t="shared" si="11"/>
        <v>-734266.8567257824</v>
      </c>
      <c r="S51" s="4">
        <f t="shared" si="11"/>
        <v>0</v>
      </c>
      <c r="T51" s="4">
        <f t="shared" si="11"/>
        <v>0</v>
      </c>
      <c r="U51" s="4">
        <f>U121</f>
        <v>0</v>
      </c>
      <c r="V51" s="4">
        <f>V121</f>
        <v>0</v>
      </c>
    </row>
    <row r="52" spans="1:22" ht="12">
      <c r="A52" t="s">
        <v>59</v>
      </c>
      <c r="E52" s="4">
        <f aca="true" t="shared" si="12" ref="E52:V52">-IF(E26&lt;$I$12,0,IF(E26&gt;=$I$12+$I$13,0,$I$18*(1+$D$22)^(E27-$E$27)))</f>
        <v>0</v>
      </c>
      <c r="F52" s="4">
        <f t="shared" si="12"/>
        <v>0</v>
      </c>
      <c r="G52" s="4">
        <f t="shared" si="12"/>
        <v>0</v>
      </c>
      <c r="H52" s="4">
        <f t="shared" si="12"/>
        <v>0</v>
      </c>
      <c r="I52" s="4">
        <f t="shared" si="12"/>
        <v>0</v>
      </c>
      <c r="J52" s="4">
        <f t="shared" si="12"/>
        <v>0</v>
      </c>
      <c r="K52" s="4">
        <f t="shared" si="12"/>
        <v>0</v>
      </c>
      <c r="L52" s="4">
        <f t="shared" si="12"/>
        <v>0</v>
      </c>
      <c r="M52" s="4">
        <f t="shared" si="12"/>
        <v>0</v>
      </c>
      <c r="N52" s="4">
        <f t="shared" si="12"/>
        <v>0</v>
      </c>
      <c r="O52" s="4">
        <f t="shared" si="12"/>
        <v>0</v>
      </c>
      <c r="P52" s="4">
        <f t="shared" si="12"/>
        <v>0</v>
      </c>
      <c r="Q52" s="4">
        <f t="shared" si="12"/>
        <v>0</v>
      </c>
      <c r="R52" s="4">
        <f t="shared" si="12"/>
        <v>0</v>
      </c>
      <c r="S52" s="4">
        <f t="shared" si="12"/>
        <v>0</v>
      </c>
      <c r="T52" s="4">
        <f t="shared" si="12"/>
        <v>0</v>
      </c>
      <c r="U52" s="4">
        <f t="shared" si="12"/>
        <v>0</v>
      </c>
      <c r="V52" s="4">
        <f t="shared" si="12"/>
        <v>0</v>
      </c>
    </row>
    <row r="53" spans="1:22" ht="12">
      <c r="A53" t="s">
        <v>60</v>
      </c>
      <c r="E53" s="4">
        <f aca="true" t="shared" si="13" ref="E53:V53">-IF(E26&lt;$J$12,0,IF(E26&gt;=$J$12+$J$13,0,$J$18*(1+$D$22)^(E27-$E$27)))</f>
        <v>0</v>
      </c>
      <c r="F53" s="4">
        <f t="shared" si="13"/>
        <v>0</v>
      </c>
      <c r="G53" s="4">
        <f t="shared" si="13"/>
        <v>0</v>
      </c>
      <c r="H53" s="4">
        <f t="shared" si="13"/>
        <v>0</v>
      </c>
      <c r="I53" s="4">
        <f t="shared" si="13"/>
        <v>0</v>
      </c>
      <c r="J53" s="4">
        <f t="shared" si="13"/>
        <v>0</v>
      </c>
      <c r="K53" s="4">
        <f t="shared" si="13"/>
        <v>0</v>
      </c>
      <c r="L53" s="4">
        <f t="shared" si="13"/>
        <v>0</v>
      </c>
      <c r="M53" s="4">
        <f t="shared" si="13"/>
        <v>0</v>
      </c>
      <c r="N53" s="4">
        <f t="shared" si="13"/>
        <v>0</v>
      </c>
      <c r="O53" s="4">
        <f t="shared" si="13"/>
        <v>0</v>
      </c>
      <c r="P53" s="4">
        <f t="shared" si="13"/>
        <v>0</v>
      </c>
      <c r="Q53" s="4">
        <f t="shared" si="13"/>
        <v>0</v>
      </c>
      <c r="R53" s="4">
        <f t="shared" si="13"/>
        <v>0</v>
      </c>
      <c r="S53" s="4">
        <f t="shared" si="13"/>
        <v>0</v>
      </c>
      <c r="T53" s="4">
        <f t="shared" si="13"/>
        <v>0</v>
      </c>
      <c r="U53" s="4">
        <f t="shared" si="13"/>
        <v>0</v>
      </c>
      <c r="V53" s="4">
        <f t="shared" si="13"/>
        <v>0</v>
      </c>
    </row>
    <row r="54" spans="1:22" ht="12">
      <c r="A54" t="s">
        <v>61</v>
      </c>
      <c r="E54" s="4">
        <f aca="true" t="shared" si="14" ref="E54:V54">-IF(E26&lt;$K$12,0,IF(E26&gt;=$K$12+$K$13,0,$K$18*(1+$D$22)^(E27-$E$27)))</f>
        <v>0</v>
      </c>
      <c r="F54" s="4">
        <f t="shared" si="14"/>
        <v>0</v>
      </c>
      <c r="G54" s="4">
        <f t="shared" si="14"/>
        <v>0</v>
      </c>
      <c r="H54" s="4">
        <f t="shared" si="14"/>
        <v>0</v>
      </c>
      <c r="I54" s="4">
        <f t="shared" si="14"/>
        <v>0</v>
      </c>
      <c r="J54" s="4">
        <f t="shared" si="14"/>
        <v>0</v>
      </c>
      <c r="K54" s="4">
        <f t="shared" si="14"/>
        <v>0</v>
      </c>
      <c r="L54" s="4">
        <f t="shared" si="14"/>
        <v>0</v>
      </c>
      <c r="M54" s="4">
        <f t="shared" si="14"/>
        <v>0</v>
      </c>
      <c r="N54" s="4">
        <f t="shared" si="14"/>
        <v>0</v>
      </c>
      <c r="O54" s="4">
        <f t="shared" si="14"/>
        <v>0</v>
      </c>
      <c r="P54" s="4">
        <f t="shared" si="14"/>
        <v>0</v>
      </c>
      <c r="Q54" s="4">
        <f t="shared" si="14"/>
        <v>0</v>
      </c>
      <c r="R54" s="4">
        <f t="shared" si="14"/>
        <v>0</v>
      </c>
      <c r="S54" s="4">
        <f t="shared" si="14"/>
        <v>0</v>
      </c>
      <c r="T54" s="4">
        <f t="shared" si="14"/>
        <v>0</v>
      </c>
      <c r="U54" s="4">
        <f t="shared" si="14"/>
        <v>0</v>
      </c>
      <c r="V54" s="4">
        <f t="shared" si="14"/>
        <v>0</v>
      </c>
    </row>
    <row r="55" spans="1:22" ht="12">
      <c r="A55" t="s">
        <v>62</v>
      </c>
      <c r="E55" s="11">
        <f aca="true" t="shared" si="15" ref="E55:V55">-IF(E26&lt;$L$12,0,IF(E26&gt;=$L$12+$L$13,0,$L$18*(1+$D$22)^(E27-$E$27)))</f>
        <v>0</v>
      </c>
      <c r="F55" s="11">
        <f t="shared" si="15"/>
        <v>0</v>
      </c>
      <c r="G55" s="11">
        <f t="shared" si="15"/>
        <v>0</v>
      </c>
      <c r="H55" s="11">
        <f t="shared" si="15"/>
        <v>0</v>
      </c>
      <c r="I55" s="11">
        <f t="shared" si="15"/>
        <v>0</v>
      </c>
      <c r="J55" s="11">
        <f t="shared" si="15"/>
        <v>0</v>
      </c>
      <c r="K55" s="11">
        <f t="shared" si="15"/>
        <v>0</v>
      </c>
      <c r="L55" s="11">
        <f t="shared" si="15"/>
        <v>0</v>
      </c>
      <c r="M55" s="11">
        <f t="shared" si="15"/>
        <v>0</v>
      </c>
      <c r="N55" s="11">
        <f t="shared" si="15"/>
        <v>0</v>
      </c>
      <c r="O55" s="11">
        <f t="shared" si="15"/>
        <v>0</v>
      </c>
      <c r="P55" s="11">
        <f t="shared" si="15"/>
        <v>0</v>
      </c>
      <c r="Q55" s="11">
        <f t="shared" si="15"/>
        <v>0</v>
      </c>
      <c r="R55" s="11">
        <f t="shared" si="15"/>
        <v>0</v>
      </c>
      <c r="S55" s="11">
        <f t="shared" si="15"/>
        <v>0</v>
      </c>
      <c r="T55" s="11">
        <f t="shared" si="15"/>
        <v>0</v>
      </c>
      <c r="U55" s="11">
        <f t="shared" si="15"/>
        <v>0</v>
      </c>
      <c r="V55" s="11">
        <f t="shared" si="15"/>
        <v>0</v>
      </c>
    </row>
    <row r="56" spans="1:22" ht="12">
      <c r="A56" t="s">
        <v>29</v>
      </c>
      <c r="E56" s="4">
        <f aca="true" t="shared" si="16" ref="E56:J56">SUM(E47:E55)</f>
        <v>-34313907.60578265</v>
      </c>
      <c r="F56" s="4">
        <f t="shared" si="16"/>
        <v>-1390500</v>
      </c>
      <c r="G56" s="4">
        <f t="shared" si="16"/>
        <v>0</v>
      </c>
      <c r="H56" s="4">
        <f t="shared" si="16"/>
        <v>-2458635.75</v>
      </c>
      <c r="I56" s="4">
        <f t="shared" si="16"/>
        <v>-5289891.407000001</v>
      </c>
      <c r="J56" s="4">
        <f t="shared" si="16"/>
        <v>-12404232.595010001</v>
      </c>
      <c r="K56" s="4">
        <f aca="true" t="shared" si="17" ref="K56:S56">SUM(K47:K55)</f>
        <v>-22030264.870960053</v>
      </c>
      <c r="L56" s="4">
        <f t="shared" si="17"/>
        <v>-11001221.726225464</v>
      </c>
      <c r="M56" s="4">
        <f t="shared" si="17"/>
        <v>-10134160.651100932</v>
      </c>
      <c r="N56" s="4">
        <f t="shared" si="17"/>
        <v>-3914319.5514877345</v>
      </c>
      <c r="O56" s="4">
        <f t="shared" si="17"/>
        <v>-873545.6465736794</v>
      </c>
      <c r="P56" s="4">
        <f t="shared" si="17"/>
        <v>-1384233.870724446</v>
      </c>
      <c r="Q56" s="4">
        <f t="shared" si="17"/>
        <v>-712880.4434230897</v>
      </c>
      <c r="R56" s="4">
        <f t="shared" si="17"/>
        <v>-734266.8567257824</v>
      </c>
      <c r="S56" s="4">
        <f t="shared" si="17"/>
        <v>0</v>
      </c>
      <c r="T56" s="4">
        <f>SUM(T47:T55)</f>
        <v>0</v>
      </c>
      <c r="U56" s="4">
        <f>SUM(U47:U55)</f>
        <v>0</v>
      </c>
      <c r="V56" s="4">
        <f>SUM(V47:V55)</f>
        <v>0</v>
      </c>
    </row>
    <row r="58" ht="12">
      <c r="A58" s="5" t="s">
        <v>31</v>
      </c>
    </row>
    <row r="59" spans="1:22" ht="12">
      <c r="A59" t="s">
        <v>27</v>
      </c>
      <c r="E59" s="4">
        <f>E38</f>
        <v>0</v>
      </c>
      <c r="F59" s="4">
        <f aca="true" t="shared" si="18" ref="F59:T59">F38</f>
        <v>1644000</v>
      </c>
      <c r="G59" s="4">
        <f t="shared" si="18"/>
        <v>1718000</v>
      </c>
      <c r="H59" s="4">
        <f t="shared" si="18"/>
        <v>1745000</v>
      </c>
      <c r="I59" s="4">
        <f t="shared" si="18"/>
        <v>7477150</v>
      </c>
      <c r="J59" s="4">
        <f t="shared" si="18"/>
        <v>1204500</v>
      </c>
      <c r="K59" s="4">
        <f t="shared" si="18"/>
        <v>1214000</v>
      </c>
      <c r="L59" s="4">
        <f t="shared" si="18"/>
        <v>46245860.81940834</v>
      </c>
      <c r="M59" s="4">
        <f t="shared" si="18"/>
        <v>28802898.248393167</v>
      </c>
      <c r="N59" s="4">
        <f t="shared" si="18"/>
        <v>29639965.19584497</v>
      </c>
      <c r="O59" s="4">
        <f t="shared" si="18"/>
        <v>30501844.151720315</v>
      </c>
      <c r="P59" s="4">
        <f t="shared" si="18"/>
        <v>31389279.476271927</v>
      </c>
      <c r="Q59" s="4">
        <f t="shared" si="18"/>
        <v>31029037.860560074</v>
      </c>
      <c r="R59" s="4">
        <f t="shared" si="18"/>
        <v>31959908.996376876</v>
      </c>
      <c r="S59" s="4">
        <f t="shared" si="18"/>
        <v>0</v>
      </c>
      <c r="T59" s="4">
        <f t="shared" si="18"/>
        <v>0</v>
      </c>
      <c r="U59" s="4">
        <f>U38</f>
        <v>0</v>
      </c>
      <c r="V59" s="4">
        <f>V38</f>
        <v>0</v>
      </c>
    </row>
    <row r="60" spans="1:22" ht="12">
      <c r="A60" t="s">
        <v>26</v>
      </c>
      <c r="E60" s="4">
        <f>E44</f>
        <v>0</v>
      </c>
      <c r="F60" s="4">
        <f aca="true" t="shared" si="19" ref="F60:T60">F44</f>
        <v>-662397.5</v>
      </c>
      <c r="G60" s="4">
        <f t="shared" si="19"/>
        <v>-682119.4249999999</v>
      </c>
      <c r="H60" s="4">
        <f t="shared" si="19"/>
        <v>-702433.00775</v>
      </c>
      <c r="I60" s="4">
        <f t="shared" si="19"/>
        <v>-723355.9979824999</v>
      </c>
      <c r="J60" s="4">
        <f t="shared" si="19"/>
        <v>-744906.6779219749</v>
      </c>
      <c r="K60" s="4">
        <f t="shared" si="19"/>
        <v>-767103.8782596342</v>
      </c>
      <c r="L60" s="4">
        <f t="shared" si="19"/>
        <v>-789966.9946074233</v>
      </c>
      <c r="M60" s="4">
        <f t="shared" si="19"/>
        <v>-636323.6650335225</v>
      </c>
      <c r="N60" s="4">
        <f t="shared" si="19"/>
        <v>-546886.1458204403</v>
      </c>
      <c r="O60" s="4">
        <f t="shared" si="19"/>
        <v>-451514.18415604276</v>
      </c>
      <c r="P60" s="4">
        <f t="shared" si="19"/>
        <v>-349932.207260543</v>
      </c>
      <c r="Q60" s="4">
        <f t="shared" si="19"/>
        <v>-241853.44898557288</v>
      </c>
      <c r="R60" s="4">
        <f t="shared" si="19"/>
        <v>-126979.52622757002</v>
      </c>
      <c r="S60" s="4">
        <f t="shared" si="19"/>
        <v>0</v>
      </c>
      <c r="T60" s="4">
        <f t="shared" si="19"/>
        <v>0</v>
      </c>
      <c r="U60" s="4">
        <f>U44</f>
        <v>0</v>
      </c>
      <c r="V60" s="4">
        <f>V44</f>
        <v>0</v>
      </c>
    </row>
    <row r="61" spans="1:22" ht="12">
      <c r="A61" t="s">
        <v>29</v>
      </c>
      <c r="E61" s="11">
        <f>E56</f>
        <v>-34313907.60578265</v>
      </c>
      <c r="F61" s="11">
        <f aca="true" t="shared" si="20" ref="F61:T61">F56</f>
        <v>-1390500</v>
      </c>
      <c r="G61" s="11">
        <f t="shared" si="20"/>
        <v>0</v>
      </c>
      <c r="H61" s="11">
        <f t="shared" si="20"/>
        <v>-2458635.75</v>
      </c>
      <c r="I61" s="11">
        <f t="shared" si="20"/>
        <v>-5289891.407000001</v>
      </c>
      <c r="J61" s="11">
        <f t="shared" si="20"/>
        <v>-12404232.595010001</v>
      </c>
      <c r="K61" s="11">
        <f t="shared" si="20"/>
        <v>-22030264.870960053</v>
      </c>
      <c r="L61" s="11">
        <f t="shared" si="20"/>
        <v>-11001221.726225464</v>
      </c>
      <c r="M61" s="11">
        <f t="shared" si="20"/>
        <v>-10134160.651100932</v>
      </c>
      <c r="N61" s="11">
        <f t="shared" si="20"/>
        <v>-3914319.5514877345</v>
      </c>
      <c r="O61" s="11">
        <f t="shared" si="20"/>
        <v>-873545.6465736794</v>
      </c>
      <c r="P61" s="11">
        <f t="shared" si="20"/>
        <v>-1384233.870724446</v>
      </c>
      <c r="Q61" s="11">
        <f t="shared" si="20"/>
        <v>-712880.4434230897</v>
      </c>
      <c r="R61" s="11">
        <f t="shared" si="20"/>
        <v>-734266.8567257824</v>
      </c>
      <c r="S61" s="11">
        <f t="shared" si="20"/>
        <v>0</v>
      </c>
      <c r="T61" s="11">
        <f t="shared" si="20"/>
        <v>0</v>
      </c>
      <c r="U61" s="11">
        <f>U56</f>
        <v>0</v>
      </c>
      <c r="V61" s="11">
        <f>V56</f>
        <v>0</v>
      </c>
    </row>
    <row r="62" spans="1:22" ht="12">
      <c r="A62" t="s">
        <v>30</v>
      </c>
      <c r="E62" s="4">
        <f>SUM(E59:E61)</f>
        <v>-34313907.60578265</v>
      </c>
      <c r="F62" s="4">
        <f>SUM(F59:F61)</f>
        <v>-408897.5</v>
      </c>
      <c r="G62" s="4">
        <f aca="true" t="shared" si="21" ref="G62:T62">SUM(G59:G61)</f>
        <v>1035880.5750000001</v>
      </c>
      <c r="H62" s="4">
        <f t="shared" si="21"/>
        <v>-1416068.7577499999</v>
      </c>
      <c r="I62" s="4">
        <f t="shared" si="21"/>
        <v>1463902.5950174993</v>
      </c>
      <c r="J62" s="4">
        <f t="shared" si="21"/>
        <v>-11944639.272931976</v>
      </c>
      <c r="K62" s="4">
        <f t="shared" si="21"/>
        <v>-21583368.749219686</v>
      </c>
      <c r="L62" s="4">
        <f t="shared" si="21"/>
        <v>34454672.09857545</v>
      </c>
      <c r="M62" s="4">
        <f t="shared" si="21"/>
        <v>18032413.93225871</v>
      </c>
      <c r="N62" s="4">
        <f t="shared" si="21"/>
        <v>25178759.498536795</v>
      </c>
      <c r="O62" s="4">
        <f t="shared" si="21"/>
        <v>29176784.320990596</v>
      </c>
      <c r="P62" s="4">
        <f t="shared" si="21"/>
        <v>29655113.39828694</v>
      </c>
      <c r="Q62" s="4">
        <f t="shared" si="21"/>
        <v>30074303.968151413</v>
      </c>
      <c r="R62" s="4">
        <f t="shared" si="21"/>
        <v>31098662.613423523</v>
      </c>
      <c r="S62" s="4">
        <f t="shared" si="21"/>
        <v>0</v>
      </c>
      <c r="T62" s="4">
        <f t="shared" si="21"/>
        <v>0</v>
      </c>
      <c r="U62" s="4">
        <f>SUM(U59:U61)</f>
        <v>0</v>
      </c>
      <c r="V62" s="4">
        <f>SUM(V59:V61)</f>
        <v>0</v>
      </c>
    </row>
    <row r="64" spans="1:5" ht="12">
      <c r="A64" t="s">
        <v>32</v>
      </c>
      <c r="E64" s="13">
        <f>IRR(E62:V62)</f>
        <v>0.15301603107922618</v>
      </c>
    </row>
    <row r="65" ht="12">
      <c r="E65" s="13"/>
    </row>
    <row r="66" spans="1:5" ht="12">
      <c r="A66" t="s">
        <v>33</v>
      </c>
      <c r="D66" s="14">
        <v>0.1</v>
      </c>
      <c r="E66" s="15">
        <f>NPV(D66,$F$86:$V$86)+$E$86</f>
        <v>57825221.6355025</v>
      </c>
    </row>
    <row r="67" spans="1:5" ht="12">
      <c r="A67" t="s">
        <v>33</v>
      </c>
      <c r="D67" s="14">
        <v>0.15</v>
      </c>
      <c r="E67" s="15">
        <f>NPV(D67,$F$86:$V$86)+$E$86</f>
        <v>35330647.166940674</v>
      </c>
    </row>
    <row r="68" spans="1:5" ht="12">
      <c r="A68" t="s">
        <v>33</v>
      </c>
      <c r="D68" s="14">
        <v>0.2</v>
      </c>
      <c r="E68" s="15">
        <f>NPV(D68,$F$86:$V$86)+$E$86</f>
        <v>21908904.327409636</v>
      </c>
    </row>
    <row r="77" spans="1:22" ht="12">
      <c r="A77" s="8" t="s">
        <v>14</v>
      </c>
      <c r="B77" s="8"/>
      <c r="C77" s="8"/>
      <c r="D77" s="8"/>
      <c r="E77" s="8">
        <v>2000</v>
      </c>
      <c r="F77" s="9">
        <v>2001</v>
      </c>
      <c r="G77" s="9">
        <v>2002</v>
      </c>
      <c r="H77" s="9">
        <v>2003</v>
      </c>
      <c r="I77" s="9">
        <v>2004</v>
      </c>
      <c r="J77" s="9">
        <v>2005</v>
      </c>
      <c r="K77" s="9">
        <v>2006</v>
      </c>
      <c r="L77" s="9">
        <v>2007</v>
      </c>
      <c r="M77" s="9">
        <v>2008</v>
      </c>
      <c r="N77" s="9">
        <v>2009</v>
      </c>
      <c r="O77" s="9">
        <v>2010</v>
      </c>
      <c r="P77" s="9">
        <v>2011</v>
      </c>
      <c r="Q77" s="9">
        <v>2012</v>
      </c>
      <c r="R77" s="9">
        <v>2013</v>
      </c>
      <c r="S77" s="9">
        <v>2014</v>
      </c>
      <c r="T77" s="9">
        <v>2015</v>
      </c>
      <c r="U77" s="9">
        <v>2016</v>
      </c>
      <c r="V77" s="9">
        <v>2017</v>
      </c>
    </row>
    <row r="78" spans="1:22" ht="12">
      <c r="A78" t="s">
        <v>15</v>
      </c>
      <c r="E78">
        <v>0</v>
      </c>
      <c r="F78" s="7">
        <v>1</v>
      </c>
      <c r="G78" s="7">
        <v>2</v>
      </c>
      <c r="H78" s="7">
        <v>3</v>
      </c>
      <c r="I78" s="7">
        <v>4</v>
      </c>
      <c r="J78" s="7">
        <v>5</v>
      </c>
      <c r="K78" s="7">
        <v>6</v>
      </c>
      <c r="L78" s="7">
        <v>7</v>
      </c>
      <c r="M78" s="7">
        <v>8</v>
      </c>
      <c r="N78" s="7">
        <v>9</v>
      </c>
      <c r="O78" s="7">
        <v>10</v>
      </c>
      <c r="P78" s="7">
        <v>11</v>
      </c>
      <c r="Q78" s="7">
        <v>12</v>
      </c>
      <c r="R78" s="7">
        <v>13</v>
      </c>
      <c r="S78" s="7">
        <v>14</v>
      </c>
      <c r="T78" s="7">
        <v>15</v>
      </c>
      <c r="U78">
        <v>16</v>
      </c>
      <c r="V78">
        <v>17</v>
      </c>
    </row>
    <row r="80" ht="12">
      <c r="A80" s="5" t="s">
        <v>34</v>
      </c>
    </row>
    <row r="81" spans="1:22" ht="12">
      <c r="A81" t="s">
        <v>7</v>
      </c>
      <c r="E81" s="4">
        <f>-E47</f>
        <v>23233705</v>
      </c>
      <c r="F81" s="4">
        <f aca="true" t="shared" si="22" ref="F81:T81">-F47</f>
        <v>0</v>
      </c>
      <c r="G81" s="4">
        <f t="shared" si="22"/>
        <v>0</v>
      </c>
      <c r="H81" s="4">
        <f t="shared" si="22"/>
        <v>0</v>
      </c>
      <c r="I81" s="4">
        <f t="shared" si="22"/>
        <v>0</v>
      </c>
      <c r="J81" s="4">
        <f t="shared" si="22"/>
        <v>0</v>
      </c>
      <c r="K81" s="4">
        <f t="shared" si="22"/>
        <v>0</v>
      </c>
      <c r="L81" s="4">
        <f t="shared" si="22"/>
        <v>0</v>
      </c>
      <c r="M81" s="4">
        <f t="shared" si="22"/>
        <v>0</v>
      </c>
      <c r="N81" s="4">
        <f t="shared" si="22"/>
        <v>0</v>
      </c>
      <c r="O81" s="4">
        <f t="shared" si="22"/>
        <v>0</v>
      </c>
      <c r="P81" s="4">
        <f t="shared" si="22"/>
        <v>0</v>
      </c>
      <c r="Q81" s="4">
        <f t="shared" si="22"/>
        <v>0</v>
      </c>
      <c r="R81" s="4">
        <f t="shared" si="22"/>
        <v>0</v>
      </c>
      <c r="S81" s="4">
        <f t="shared" si="22"/>
        <v>0</v>
      </c>
      <c r="T81" s="4">
        <f t="shared" si="22"/>
        <v>0</v>
      </c>
      <c r="U81" s="4">
        <f aca="true" t="shared" si="23" ref="U81:V84">-U47</f>
        <v>0</v>
      </c>
      <c r="V81" s="4">
        <f t="shared" si="23"/>
        <v>0</v>
      </c>
    </row>
    <row r="82" spans="1:22" ht="12">
      <c r="A82" t="s">
        <v>78</v>
      </c>
      <c r="E82" s="4">
        <f aca="true" t="shared" si="24" ref="E82:T82">-E48</f>
        <v>5391860.546329706</v>
      </c>
      <c r="F82" s="4">
        <f t="shared" si="24"/>
        <v>0</v>
      </c>
      <c r="G82" s="4">
        <f t="shared" si="24"/>
        <v>0</v>
      </c>
      <c r="H82" s="4">
        <f t="shared" si="24"/>
        <v>0</v>
      </c>
      <c r="I82" s="4">
        <f t="shared" si="24"/>
        <v>0</v>
      </c>
      <c r="J82" s="4">
        <f t="shared" si="24"/>
        <v>0</v>
      </c>
      <c r="K82" s="4">
        <f t="shared" si="24"/>
        <v>0</v>
      </c>
      <c r="L82" s="4">
        <f t="shared" si="24"/>
        <v>0</v>
      </c>
      <c r="M82" s="4">
        <f t="shared" si="24"/>
        <v>0</v>
      </c>
      <c r="N82" s="4">
        <f t="shared" si="24"/>
        <v>0</v>
      </c>
      <c r="O82" s="4">
        <f t="shared" si="24"/>
        <v>0</v>
      </c>
      <c r="P82" s="4">
        <f t="shared" si="24"/>
        <v>0</v>
      </c>
      <c r="Q82" s="4">
        <f t="shared" si="24"/>
        <v>0</v>
      </c>
      <c r="R82" s="4">
        <f t="shared" si="24"/>
        <v>0</v>
      </c>
      <c r="S82" s="4">
        <f t="shared" si="24"/>
        <v>0</v>
      </c>
      <c r="T82" s="4">
        <f t="shared" si="24"/>
        <v>0</v>
      </c>
      <c r="U82" s="4">
        <f t="shared" si="23"/>
        <v>0</v>
      </c>
      <c r="V82" s="4">
        <f t="shared" si="23"/>
        <v>0</v>
      </c>
    </row>
    <row r="83" spans="1:22" ht="12">
      <c r="A83" t="s">
        <v>79</v>
      </c>
      <c r="E83" s="4">
        <f aca="true" t="shared" si="25" ref="E83:T84">-E49</f>
        <v>5181239.976608866</v>
      </c>
      <c r="F83" s="4">
        <f t="shared" si="25"/>
        <v>0</v>
      </c>
      <c r="G83" s="4">
        <f t="shared" si="25"/>
        <v>0</v>
      </c>
      <c r="H83" s="4">
        <f t="shared" si="25"/>
        <v>0</v>
      </c>
      <c r="I83" s="4">
        <f t="shared" si="25"/>
        <v>0</v>
      </c>
      <c r="J83" s="4">
        <f t="shared" si="25"/>
        <v>0</v>
      </c>
      <c r="K83" s="4">
        <f t="shared" si="25"/>
        <v>0</v>
      </c>
      <c r="L83" s="4">
        <f t="shared" si="25"/>
        <v>0</v>
      </c>
      <c r="M83" s="4">
        <f t="shared" si="25"/>
        <v>0</v>
      </c>
      <c r="N83" s="4">
        <f t="shared" si="25"/>
        <v>0</v>
      </c>
      <c r="O83" s="4">
        <f t="shared" si="25"/>
        <v>0</v>
      </c>
      <c r="P83" s="4">
        <f t="shared" si="25"/>
        <v>0</v>
      </c>
      <c r="Q83" s="4">
        <f t="shared" si="25"/>
        <v>0</v>
      </c>
      <c r="R83" s="4">
        <f t="shared" si="25"/>
        <v>0</v>
      </c>
      <c r="S83" s="4">
        <f t="shared" si="25"/>
        <v>0</v>
      </c>
      <c r="T83" s="4">
        <f t="shared" si="25"/>
        <v>0</v>
      </c>
      <c r="U83" s="4">
        <f t="shared" si="23"/>
        <v>0</v>
      </c>
      <c r="V83" s="4">
        <f t="shared" si="23"/>
        <v>0</v>
      </c>
    </row>
    <row r="84" spans="1:22" ht="12">
      <c r="A84" t="s">
        <v>104</v>
      </c>
      <c r="E84" s="4">
        <f t="shared" si="25"/>
        <v>507102.08284407854</v>
      </c>
      <c r="F84" s="4">
        <f t="shared" si="25"/>
        <v>0</v>
      </c>
      <c r="G84" s="4">
        <f t="shared" si="25"/>
        <v>0</v>
      </c>
      <c r="H84" s="4">
        <f t="shared" si="25"/>
        <v>0</v>
      </c>
      <c r="I84" s="4">
        <f t="shared" si="25"/>
        <v>0</v>
      </c>
      <c r="J84" s="4">
        <f t="shared" si="25"/>
        <v>0</v>
      </c>
      <c r="K84" s="4">
        <f t="shared" si="25"/>
        <v>0</v>
      </c>
      <c r="L84" s="4">
        <f t="shared" si="25"/>
        <v>0</v>
      </c>
      <c r="M84" s="4">
        <f t="shared" si="25"/>
        <v>0</v>
      </c>
      <c r="N84" s="4">
        <f t="shared" si="25"/>
        <v>0</v>
      </c>
      <c r="O84" s="4">
        <f t="shared" si="25"/>
        <v>0</v>
      </c>
      <c r="P84" s="4">
        <f t="shared" si="25"/>
        <v>0</v>
      </c>
      <c r="Q84" s="4">
        <f t="shared" si="25"/>
        <v>0</v>
      </c>
      <c r="R84" s="4">
        <f t="shared" si="25"/>
        <v>0</v>
      </c>
      <c r="S84" s="4">
        <f t="shared" si="25"/>
        <v>0</v>
      </c>
      <c r="T84" s="4">
        <f t="shared" si="25"/>
        <v>0</v>
      </c>
      <c r="U84" s="4">
        <f t="shared" si="23"/>
        <v>0</v>
      </c>
      <c r="V84" s="4">
        <f t="shared" si="23"/>
        <v>0</v>
      </c>
    </row>
    <row r="85" spans="1:22" ht="12">
      <c r="A85" t="s">
        <v>30</v>
      </c>
      <c r="E85" s="11">
        <f>E62</f>
        <v>-34313907.60578265</v>
      </c>
      <c r="F85" s="11">
        <f aca="true" t="shared" si="26" ref="F85:T85">F62</f>
        <v>-408897.5</v>
      </c>
      <c r="G85" s="11">
        <f t="shared" si="26"/>
        <v>1035880.5750000001</v>
      </c>
      <c r="H85" s="11">
        <f t="shared" si="26"/>
        <v>-1416068.7577499999</v>
      </c>
      <c r="I85" s="11">
        <f t="shared" si="26"/>
        <v>1463902.5950174993</v>
      </c>
      <c r="J85" s="11">
        <f t="shared" si="26"/>
        <v>-11944639.272931976</v>
      </c>
      <c r="K85" s="11">
        <f t="shared" si="26"/>
        <v>-21583368.749219686</v>
      </c>
      <c r="L85" s="11">
        <f t="shared" si="26"/>
        <v>34454672.09857545</v>
      </c>
      <c r="M85" s="11">
        <f t="shared" si="26"/>
        <v>18032413.93225871</v>
      </c>
      <c r="N85" s="11">
        <f t="shared" si="26"/>
        <v>25178759.498536795</v>
      </c>
      <c r="O85" s="11">
        <f t="shared" si="26"/>
        <v>29176784.320990596</v>
      </c>
      <c r="P85" s="11">
        <f t="shared" si="26"/>
        <v>29655113.39828694</v>
      </c>
      <c r="Q85" s="11">
        <f t="shared" si="26"/>
        <v>30074303.968151413</v>
      </c>
      <c r="R85" s="11">
        <f t="shared" si="26"/>
        <v>31098662.613423523</v>
      </c>
      <c r="S85" s="11">
        <f t="shared" si="26"/>
        <v>0</v>
      </c>
      <c r="T85" s="11">
        <f t="shared" si="26"/>
        <v>0</v>
      </c>
      <c r="U85" s="11">
        <f>U62</f>
        <v>0</v>
      </c>
      <c r="V85" s="11">
        <f>V62</f>
        <v>0</v>
      </c>
    </row>
    <row r="86" spans="1:22" ht="12">
      <c r="A86" t="s">
        <v>35</v>
      </c>
      <c r="E86" s="4">
        <f>SUM(E81:E85)</f>
        <v>0</v>
      </c>
      <c r="F86" s="4">
        <f>SUM(F81:F85)</f>
        <v>-408897.5</v>
      </c>
      <c r="G86" s="4">
        <f aca="true" t="shared" si="27" ref="G86:T86">SUM(G81:G85)</f>
        <v>1035880.5750000001</v>
      </c>
      <c r="H86" s="4">
        <f t="shared" si="27"/>
        <v>-1416068.7577499999</v>
      </c>
      <c r="I86" s="4">
        <f t="shared" si="27"/>
        <v>1463902.5950174993</v>
      </c>
      <c r="J86" s="4">
        <f t="shared" si="27"/>
        <v>-11944639.272931976</v>
      </c>
      <c r="K86" s="4">
        <f t="shared" si="27"/>
        <v>-21583368.749219686</v>
      </c>
      <c r="L86" s="4">
        <f t="shared" si="27"/>
        <v>34454672.09857545</v>
      </c>
      <c r="M86" s="4">
        <f t="shared" si="27"/>
        <v>18032413.93225871</v>
      </c>
      <c r="N86" s="4">
        <f t="shared" si="27"/>
        <v>25178759.498536795</v>
      </c>
      <c r="O86" s="4">
        <f t="shared" si="27"/>
        <v>29176784.320990596</v>
      </c>
      <c r="P86" s="4">
        <f t="shared" si="27"/>
        <v>29655113.39828694</v>
      </c>
      <c r="Q86" s="4">
        <f>SUM(Q81:Q85)</f>
        <v>30074303.968151413</v>
      </c>
      <c r="R86" s="4">
        <f>SUM(R81:R85)</f>
        <v>31098662.613423523</v>
      </c>
      <c r="S86" s="4">
        <f t="shared" si="27"/>
        <v>0</v>
      </c>
      <c r="T86" s="4">
        <f t="shared" si="27"/>
        <v>0</v>
      </c>
      <c r="U86" s="4">
        <f>SUM(U81:U85)</f>
        <v>0</v>
      </c>
      <c r="V86" s="4">
        <f>SUM(V81:V85)</f>
        <v>0</v>
      </c>
    </row>
    <row r="88" spans="5:7" ht="12">
      <c r="E88" s="4"/>
      <c r="F88" s="4"/>
      <c r="G88" s="4"/>
    </row>
    <row r="89" ht="12">
      <c r="A89" s="5" t="s">
        <v>47</v>
      </c>
    </row>
    <row r="90" spans="1:22" ht="12">
      <c r="A90" t="s">
        <v>48</v>
      </c>
      <c r="E90" s="4">
        <v>0</v>
      </c>
      <c r="F90" s="4">
        <f>E93</f>
        <v>1900000</v>
      </c>
      <c r="G90" s="4">
        <f aca="true" t="shared" si="28" ref="G90:M90">F93</f>
        <v>1900000</v>
      </c>
      <c r="H90" s="4">
        <f t="shared" si="28"/>
        <v>1900000</v>
      </c>
      <c r="I90" s="4">
        <f t="shared" si="28"/>
        <v>1900000</v>
      </c>
      <c r="J90" s="4">
        <f t="shared" si="28"/>
        <v>1900000</v>
      </c>
      <c r="K90" s="4">
        <f t="shared" si="28"/>
        <v>1900000</v>
      </c>
      <c r="L90" s="4">
        <f t="shared" si="28"/>
        <v>1900000</v>
      </c>
      <c r="M90" s="4">
        <f t="shared" si="28"/>
        <v>1628571.4285714286</v>
      </c>
      <c r="N90" s="4">
        <f aca="true" t="shared" si="29" ref="N90:T90">M93</f>
        <v>1357142.8571428573</v>
      </c>
      <c r="O90" s="4">
        <f t="shared" si="29"/>
        <v>1085714.285714286</v>
      </c>
      <c r="P90" s="4">
        <f t="shared" si="29"/>
        <v>814285.7142857146</v>
      </c>
      <c r="Q90" s="4">
        <f t="shared" si="29"/>
        <v>542857.1428571432</v>
      </c>
      <c r="R90" s="4">
        <f t="shared" si="29"/>
        <v>271428.57142857177</v>
      </c>
      <c r="S90" s="4">
        <f t="shared" si="29"/>
        <v>3.4924596548080444E-10</v>
      </c>
      <c r="T90" s="4">
        <f t="shared" si="29"/>
        <v>3.4924596548080444E-10</v>
      </c>
      <c r="U90" s="4">
        <f>T93</f>
        <v>3.4924596548080444E-10</v>
      </c>
      <c r="V90" s="4">
        <f>U93</f>
        <v>3.4924596548080444E-10</v>
      </c>
    </row>
    <row r="91" spans="1:22" ht="12">
      <c r="A91" t="s">
        <v>49</v>
      </c>
      <c r="E91" s="4">
        <f aca="true" t="shared" si="30" ref="E91:T91">IF(E26&lt;$I$12,0,IF(E26&gt;=$I$12+$I$13,0,-$I$14))</f>
        <v>0</v>
      </c>
      <c r="F91" s="4">
        <f t="shared" si="30"/>
        <v>0</v>
      </c>
      <c r="G91" s="4">
        <f t="shared" si="30"/>
        <v>0</v>
      </c>
      <c r="H91" s="4">
        <f t="shared" si="30"/>
        <v>0</v>
      </c>
      <c r="I91" s="4">
        <f t="shared" si="30"/>
        <v>0</v>
      </c>
      <c r="J91" s="4">
        <f t="shared" si="30"/>
        <v>0</v>
      </c>
      <c r="K91" s="4">
        <f t="shared" si="30"/>
        <v>0</v>
      </c>
      <c r="L91" s="4">
        <f t="shared" si="30"/>
        <v>-271428.5714285714</v>
      </c>
      <c r="M91" s="4">
        <f t="shared" si="30"/>
        <v>-271428.5714285714</v>
      </c>
      <c r="N91" s="4">
        <f t="shared" si="30"/>
        <v>-271428.5714285714</v>
      </c>
      <c r="O91" s="4">
        <f t="shared" si="30"/>
        <v>-271428.5714285714</v>
      </c>
      <c r="P91" s="4">
        <f t="shared" si="30"/>
        <v>-271428.5714285714</v>
      </c>
      <c r="Q91" s="4">
        <f t="shared" si="30"/>
        <v>-271428.5714285714</v>
      </c>
      <c r="R91" s="4">
        <f t="shared" si="30"/>
        <v>-271428.5714285714</v>
      </c>
      <c r="S91" s="4">
        <f t="shared" si="30"/>
        <v>0</v>
      </c>
      <c r="T91" s="4">
        <f t="shared" si="30"/>
        <v>0</v>
      </c>
      <c r="U91" s="4">
        <f>IF(U26&lt;$I$12,0,IF(U26&gt;=$I$12+$I$13,0,-$I$14))</f>
        <v>0</v>
      </c>
      <c r="V91" s="4">
        <f>IF(V26&lt;$I$12,0,IF(V26&gt;=$I$12+$I$13,0,-$I$14))</f>
        <v>0</v>
      </c>
    </row>
    <row r="92" spans="1:22" ht="12">
      <c r="A92" t="s">
        <v>51</v>
      </c>
      <c r="E92" s="11">
        <f>I7</f>
        <v>1900000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</row>
    <row r="93" spans="1:22" ht="12">
      <c r="A93" t="s">
        <v>50</v>
      </c>
      <c r="E93" s="4">
        <f>SUM(E90:E92)</f>
        <v>1900000</v>
      </c>
      <c r="F93" s="4">
        <f>SUM(F90:F92)</f>
        <v>1900000</v>
      </c>
      <c r="G93" s="4">
        <f aca="true" t="shared" si="31" ref="G93:M93">SUM(G90:G92)</f>
        <v>1900000</v>
      </c>
      <c r="H93" s="4">
        <f t="shared" si="31"/>
        <v>1900000</v>
      </c>
      <c r="I93" s="4">
        <f t="shared" si="31"/>
        <v>1900000</v>
      </c>
      <c r="J93" s="4">
        <f t="shared" si="31"/>
        <v>1900000</v>
      </c>
      <c r="K93" s="4">
        <f t="shared" si="31"/>
        <v>1900000</v>
      </c>
      <c r="L93" s="4">
        <f t="shared" si="31"/>
        <v>1628571.4285714286</v>
      </c>
      <c r="M93" s="4">
        <f t="shared" si="31"/>
        <v>1357142.8571428573</v>
      </c>
      <c r="N93" s="4">
        <f aca="true" t="shared" si="32" ref="N93:T93">SUM(N90:N92)</f>
        <v>1085714.285714286</v>
      </c>
      <c r="O93" s="4">
        <f t="shared" si="32"/>
        <v>814285.7142857146</v>
      </c>
      <c r="P93" s="4">
        <f t="shared" si="32"/>
        <v>542857.1428571432</v>
      </c>
      <c r="Q93" s="4">
        <f t="shared" si="32"/>
        <v>271428.57142857177</v>
      </c>
      <c r="R93" s="4">
        <f t="shared" si="32"/>
        <v>3.4924596548080444E-10</v>
      </c>
      <c r="S93" s="4">
        <f t="shared" si="32"/>
        <v>3.4924596548080444E-10</v>
      </c>
      <c r="T93" s="4">
        <f t="shared" si="32"/>
        <v>3.4924596548080444E-10</v>
      </c>
      <c r="U93" s="4">
        <f>SUM(U90:U92)</f>
        <v>3.4924596548080444E-10</v>
      </c>
      <c r="V93" s="4">
        <f>SUM(V90:V92)</f>
        <v>3.4924596548080444E-10</v>
      </c>
    </row>
    <row r="95" ht="12">
      <c r="A95" s="5" t="s">
        <v>52</v>
      </c>
    </row>
    <row r="96" spans="1:22" ht="12">
      <c r="A96" t="s">
        <v>48</v>
      </c>
      <c r="E96" s="4">
        <v>0</v>
      </c>
      <c r="F96" s="4">
        <f>E99</f>
        <v>135000</v>
      </c>
      <c r="G96" s="4">
        <f aca="true" t="shared" si="33" ref="G96:T96">F99</f>
        <v>135000</v>
      </c>
      <c r="H96" s="4">
        <f t="shared" si="33"/>
        <v>135000</v>
      </c>
      <c r="I96" s="4">
        <f t="shared" si="33"/>
        <v>135000</v>
      </c>
      <c r="J96" s="4">
        <f t="shared" si="33"/>
        <v>135000</v>
      </c>
      <c r="K96" s="4">
        <f t="shared" si="33"/>
        <v>135000</v>
      </c>
      <c r="L96" s="4">
        <f t="shared" si="33"/>
        <v>135000</v>
      </c>
      <c r="M96" s="4">
        <f t="shared" si="33"/>
        <v>115714.28571428571</v>
      </c>
      <c r="N96" s="4">
        <f t="shared" si="33"/>
        <v>96428.57142857142</v>
      </c>
      <c r="O96" s="4">
        <f t="shared" si="33"/>
        <v>77142.85714285713</v>
      </c>
      <c r="P96" s="4">
        <f t="shared" si="33"/>
        <v>57857.14285714284</v>
      </c>
      <c r="Q96" s="4">
        <f t="shared" si="33"/>
        <v>38571.42857142855</v>
      </c>
      <c r="R96" s="4">
        <f t="shared" si="33"/>
        <v>19285.714285714264</v>
      </c>
      <c r="S96" s="4">
        <f t="shared" si="33"/>
        <v>-2.1827872842550278E-11</v>
      </c>
      <c r="T96" s="4">
        <f t="shared" si="33"/>
        <v>-2.1827872842550278E-11</v>
      </c>
      <c r="U96" s="4">
        <f>T99</f>
        <v>-2.1827872842550278E-11</v>
      </c>
      <c r="V96" s="4">
        <f>U99</f>
        <v>-2.1827872842550278E-11</v>
      </c>
    </row>
    <row r="97" spans="1:22" ht="12">
      <c r="A97" t="s">
        <v>49</v>
      </c>
      <c r="E97" s="4">
        <f aca="true" t="shared" si="34" ref="E97:T97">IF(E26&lt;$J$12,0,IF(E26&gt;=$J$12+$J$13,0,-$J$14))</f>
        <v>0</v>
      </c>
      <c r="F97" s="4">
        <f t="shared" si="34"/>
        <v>0</v>
      </c>
      <c r="G97" s="4">
        <f t="shared" si="34"/>
        <v>0</v>
      </c>
      <c r="H97" s="4">
        <f t="shared" si="34"/>
        <v>0</v>
      </c>
      <c r="I97" s="4">
        <f t="shared" si="34"/>
        <v>0</v>
      </c>
      <c r="J97" s="4">
        <f t="shared" si="34"/>
        <v>0</v>
      </c>
      <c r="K97" s="4">
        <f t="shared" si="34"/>
        <v>0</v>
      </c>
      <c r="L97" s="4">
        <f t="shared" si="34"/>
        <v>-19285.714285714286</v>
      </c>
      <c r="M97" s="4">
        <f t="shared" si="34"/>
        <v>-19285.714285714286</v>
      </c>
      <c r="N97" s="4">
        <f t="shared" si="34"/>
        <v>-19285.714285714286</v>
      </c>
      <c r="O97" s="4">
        <f t="shared" si="34"/>
        <v>-19285.714285714286</v>
      </c>
      <c r="P97" s="4">
        <f t="shared" si="34"/>
        <v>-19285.714285714286</v>
      </c>
      <c r="Q97" s="4">
        <f t="shared" si="34"/>
        <v>-19285.714285714286</v>
      </c>
      <c r="R97" s="4">
        <f t="shared" si="34"/>
        <v>-19285.714285714286</v>
      </c>
      <c r="S97" s="4">
        <f t="shared" si="34"/>
        <v>0</v>
      </c>
      <c r="T97" s="4">
        <f t="shared" si="34"/>
        <v>0</v>
      </c>
      <c r="U97" s="4">
        <f>IF(U26&lt;$J$12,0,IF(U26&gt;=$J$12+$J$13,0,-$J$14))</f>
        <v>0</v>
      </c>
      <c r="V97" s="4">
        <f>IF(V26&lt;$J$12,0,IF(V26&gt;=$J$12+$J$13,0,-$J$14))</f>
        <v>0</v>
      </c>
    </row>
    <row r="98" spans="1:22" ht="12">
      <c r="A98" t="s">
        <v>51</v>
      </c>
      <c r="E98" s="11">
        <f>J7</f>
        <v>135000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</row>
    <row r="99" spans="1:22" ht="12">
      <c r="A99" t="s">
        <v>50</v>
      </c>
      <c r="E99" s="4">
        <f>SUM(E96:E98)</f>
        <v>135000</v>
      </c>
      <c r="F99" s="4">
        <f>SUM(F96:F98)</f>
        <v>135000</v>
      </c>
      <c r="G99" s="4">
        <f aca="true" t="shared" si="35" ref="G99:T99">SUM(G96:G98)</f>
        <v>135000</v>
      </c>
      <c r="H99" s="4">
        <f t="shared" si="35"/>
        <v>135000</v>
      </c>
      <c r="I99" s="4">
        <f t="shared" si="35"/>
        <v>135000</v>
      </c>
      <c r="J99" s="4">
        <f t="shared" si="35"/>
        <v>135000</v>
      </c>
      <c r="K99" s="4">
        <f t="shared" si="35"/>
        <v>135000</v>
      </c>
      <c r="L99" s="4">
        <f t="shared" si="35"/>
        <v>115714.28571428571</v>
      </c>
      <c r="M99" s="4">
        <f t="shared" si="35"/>
        <v>96428.57142857142</v>
      </c>
      <c r="N99" s="4">
        <f t="shared" si="35"/>
        <v>77142.85714285713</v>
      </c>
      <c r="O99" s="4">
        <f t="shared" si="35"/>
        <v>57857.14285714284</v>
      </c>
      <c r="P99" s="4">
        <f t="shared" si="35"/>
        <v>38571.42857142855</v>
      </c>
      <c r="Q99" s="4">
        <f t="shared" si="35"/>
        <v>19285.714285714264</v>
      </c>
      <c r="R99" s="4">
        <f t="shared" si="35"/>
        <v>-2.1827872842550278E-11</v>
      </c>
      <c r="S99" s="4">
        <f t="shared" si="35"/>
        <v>-2.1827872842550278E-11</v>
      </c>
      <c r="T99" s="4">
        <f t="shared" si="35"/>
        <v>-2.1827872842550278E-11</v>
      </c>
      <c r="U99" s="4">
        <f>SUM(U96:U98)</f>
        <v>-2.1827872842550278E-11</v>
      </c>
      <c r="V99" s="4">
        <f>SUM(V96:V98)</f>
        <v>-2.1827872842550278E-11</v>
      </c>
    </row>
    <row r="101" ht="12">
      <c r="A101" s="5" t="s">
        <v>53</v>
      </c>
    </row>
    <row r="102" spans="1:22" ht="12">
      <c r="A102" t="s">
        <v>48</v>
      </c>
      <c r="E102" s="4">
        <v>0</v>
      </c>
      <c r="F102" s="4">
        <f>E105</f>
        <v>3081900</v>
      </c>
      <c r="G102" s="4">
        <f aca="true" t="shared" si="36" ref="G102:T102">F105</f>
        <v>3081900</v>
      </c>
      <c r="H102" s="4">
        <f t="shared" si="36"/>
        <v>3081900</v>
      </c>
      <c r="I102" s="4">
        <f t="shared" si="36"/>
        <v>3081900</v>
      </c>
      <c r="J102" s="4">
        <f t="shared" si="36"/>
        <v>3081900</v>
      </c>
      <c r="K102" s="4">
        <f t="shared" si="36"/>
        <v>3081900</v>
      </c>
      <c r="L102" s="4">
        <f t="shared" si="36"/>
        <v>3081900</v>
      </c>
      <c r="M102" s="4">
        <f t="shared" si="36"/>
        <v>2641628.5714285714</v>
      </c>
      <c r="N102" s="4">
        <f t="shared" si="36"/>
        <v>2201357.1428571427</v>
      </c>
      <c r="O102" s="4">
        <f t="shared" si="36"/>
        <v>1761085.714285714</v>
      </c>
      <c r="P102" s="4">
        <f t="shared" si="36"/>
        <v>1320814.2857142854</v>
      </c>
      <c r="Q102" s="4">
        <f t="shared" si="36"/>
        <v>880542.8571428568</v>
      </c>
      <c r="R102" s="4">
        <f t="shared" si="36"/>
        <v>440271.42857142823</v>
      </c>
      <c r="S102" s="4">
        <f t="shared" si="36"/>
        <v>-3.4924596548080444E-10</v>
      </c>
      <c r="T102" s="4">
        <f t="shared" si="36"/>
        <v>-3.4924596548080444E-10</v>
      </c>
      <c r="U102" s="4">
        <f>T105</f>
        <v>-3.4924596548080444E-10</v>
      </c>
      <c r="V102" s="4">
        <f>U105</f>
        <v>-3.4924596548080444E-10</v>
      </c>
    </row>
    <row r="103" spans="1:22" ht="12">
      <c r="A103" t="s">
        <v>49</v>
      </c>
      <c r="E103" s="4">
        <f aca="true" t="shared" si="37" ref="E103:T103">IF(E26&lt;$K$12,0,IF(E26&gt;=$K$12+$K$13,0,-$K$14))</f>
        <v>0</v>
      </c>
      <c r="F103" s="4">
        <f t="shared" si="37"/>
        <v>0</v>
      </c>
      <c r="G103" s="4">
        <f t="shared" si="37"/>
        <v>0</v>
      </c>
      <c r="H103" s="4">
        <f t="shared" si="37"/>
        <v>0</v>
      </c>
      <c r="I103" s="4">
        <f t="shared" si="37"/>
        <v>0</v>
      </c>
      <c r="J103" s="4">
        <f t="shared" si="37"/>
        <v>0</v>
      </c>
      <c r="K103" s="4">
        <f t="shared" si="37"/>
        <v>0</v>
      </c>
      <c r="L103" s="4">
        <f t="shared" si="37"/>
        <v>-440271.4285714286</v>
      </c>
      <c r="M103" s="4">
        <f t="shared" si="37"/>
        <v>-440271.4285714286</v>
      </c>
      <c r="N103" s="4">
        <f t="shared" si="37"/>
        <v>-440271.4285714286</v>
      </c>
      <c r="O103" s="4">
        <f t="shared" si="37"/>
        <v>-440271.4285714286</v>
      </c>
      <c r="P103" s="4">
        <f t="shared" si="37"/>
        <v>-440271.4285714286</v>
      </c>
      <c r="Q103" s="4">
        <f t="shared" si="37"/>
        <v>-440271.4285714286</v>
      </c>
      <c r="R103" s="4">
        <f t="shared" si="37"/>
        <v>-440271.4285714286</v>
      </c>
      <c r="S103" s="4">
        <f t="shared" si="37"/>
        <v>0</v>
      </c>
      <c r="T103" s="4">
        <f t="shared" si="37"/>
        <v>0</v>
      </c>
      <c r="U103" s="4">
        <f>IF(U26&lt;$K$12,0,IF(U26&gt;=$K$12+$K$13,0,-$K$14))</f>
        <v>0</v>
      </c>
      <c r="V103" s="4">
        <f>IF(V26&lt;$K$12,0,IF(V26&gt;=$K$12+$K$13,0,-$K$14))</f>
        <v>0</v>
      </c>
    </row>
    <row r="104" spans="1:22" ht="12">
      <c r="A104" t="s">
        <v>51</v>
      </c>
      <c r="E104" s="11">
        <f>K7</f>
        <v>3081900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</row>
    <row r="105" spans="1:22" ht="12">
      <c r="A105" t="s">
        <v>50</v>
      </c>
      <c r="E105" s="4">
        <f aca="true" t="shared" si="38" ref="E105:T105">SUM(E102:E104)</f>
        <v>3081900</v>
      </c>
      <c r="F105" s="4">
        <f t="shared" si="38"/>
        <v>3081900</v>
      </c>
      <c r="G105" s="4">
        <f t="shared" si="38"/>
        <v>3081900</v>
      </c>
      <c r="H105" s="4">
        <f t="shared" si="38"/>
        <v>3081900</v>
      </c>
      <c r="I105" s="4">
        <f t="shared" si="38"/>
        <v>3081900</v>
      </c>
      <c r="J105" s="4">
        <f t="shared" si="38"/>
        <v>3081900</v>
      </c>
      <c r="K105" s="4">
        <f t="shared" si="38"/>
        <v>3081900</v>
      </c>
      <c r="L105" s="4">
        <f t="shared" si="38"/>
        <v>2641628.5714285714</v>
      </c>
      <c r="M105" s="4">
        <f t="shared" si="38"/>
        <v>2201357.1428571427</v>
      </c>
      <c r="N105" s="4">
        <f t="shared" si="38"/>
        <v>1761085.714285714</v>
      </c>
      <c r="O105" s="4">
        <f t="shared" si="38"/>
        <v>1320814.2857142854</v>
      </c>
      <c r="P105" s="4">
        <f t="shared" si="38"/>
        <v>880542.8571428568</v>
      </c>
      <c r="Q105" s="4">
        <f t="shared" si="38"/>
        <v>440271.42857142823</v>
      </c>
      <c r="R105" s="4">
        <f t="shared" si="38"/>
        <v>-3.4924596548080444E-10</v>
      </c>
      <c r="S105" s="4">
        <f t="shared" si="38"/>
        <v>-3.4924596548080444E-10</v>
      </c>
      <c r="T105" s="4">
        <f t="shared" si="38"/>
        <v>-3.4924596548080444E-10</v>
      </c>
      <c r="U105" s="4">
        <f>SUM(U102:U104)</f>
        <v>-3.4924596548080444E-10</v>
      </c>
      <c r="V105" s="4">
        <f>SUM(V102:V104)</f>
        <v>-3.4924596548080444E-10</v>
      </c>
    </row>
    <row r="107" ht="12">
      <c r="A107" s="5" t="s">
        <v>54</v>
      </c>
    </row>
    <row r="108" spans="1:22" ht="12">
      <c r="A108" t="s">
        <v>48</v>
      </c>
      <c r="E108" s="4">
        <v>0</v>
      </c>
      <c r="F108" s="4">
        <f>E111</f>
        <v>500000</v>
      </c>
      <c r="G108" s="4">
        <f aca="true" t="shared" si="39" ref="G108:T108">F111</f>
        <v>500000</v>
      </c>
      <c r="H108" s="4">
        <f t="shared" si="39"/>
        <v>500000</v>
      </c>
      <c r="I108" s="4">
        <f t="shared" si="39"/>
        <v>500000</v>
      </c>
      <c r="J108" s="4">
        <f t="shared" si="39"/>
        <v>500000</v>
      </c>
      <c r="K108" s="4">
        <f t="shared" si="39"/>
        <v>500000</v>
      </c>
      <c r="L108" s="4">
        <f t="shared" si="39"/>
        <v>500000</v>
      </c>
      <c r="M108" s="4">
        <f t="shared" si="39"/>
        <v>0</v>
      </c>
      <c r="N108" s="4">
        <f t="shared" si="39"/>
        <v>0</v>
      </c>
      <c r="O108" s="4">
        <f t="shared" si="39"/>
        <v>0</v>
      </c>
      <c r="P108" s="4">
        <f t="shared" si="39"/>
        <v>0</v>
      </c>
      <c r="Q108" s="4">
        <f t="shared" si="39"/>
        <v>0</v>
      </c>
      <c r="R108" s="4">
        <f t="shared" si="39"/>
        <v>0</v>
      </c>
      <c r="S108" s="4">
        <f t="shared" si="39"/>
        <v>0</v>
      </c>
      <c r="T108" s="4">
        <f t="shared" si="39"/>
        <v>0</v>
      </c>
      <c r="U108" s="4">
        <f>T111</f>
        <v>0</v>
      </c>
      <c r="V108" s="4">
        <f>U111</f>
        <v>0</v>
      </c>
    </row>
    <row r="109" spans="1:22" ht="12">
      <c r="A109" t="s">
        <v>49</v>
      </c>
      <c r="E109" s="4">
        <f aca="true" t="shared" si="40" ref="E109:T109">IF(E26&lt;$L$12,0,IF(E26&gt;=$L$12+$L$13,0,-$L$14))</f>
        <v>0</v>
      </c>
      <c r="F109" s="4">
        <f t="shared" si="40"/>
        <v>0</v>
      </c>
      <c r="G109" s="4">
        <f t="shared" si="40"/>
        <v>0</v>
      </c>
      <c r="H109" s="4">
        <f t="shared" si="40"/>
        <v>0</v>
      </c>
      <c r="I109" s="4">
        <f t="shared" si="40"/>
        <v>0</v>
      </c>
      <c r="J109" s="4">
        <f t="shared" si="40"/>
        <v>0</v>
      </c>
      <c r="K109" s="4">
        <f t="shared" si="40"/>
        <v>0</v>
      </c>
      <c r="L109" s="4">
        <f t="shared" si="40"/>
        <v>-500000</v>
      </c>
      <c r="M109" s="4">
        <f t="shared" si="40"/>
        <v>0</v>
      </c>
      <c r="N109" s="4">
        <f t="shared" si="40"/>
        <v>0</v>
      </c>
      <c r="O109" s="4">
        <f t="shared" si="40"/>
        <v>0</v>
      </c>
      <c r="P109" s="4">
        <f t="shared" si="40"/>
        <v>0</v>
      </c>
      <c r="Q109" s="4">
        <f t="shared" si="40"/>
        <v>0</v>
      </c>
      <c r="R109" s="4">
        <f t="shared" si="40"/>
        <v>0</v>
      </c>
      <c r="S109" s="4">
        <f t="shared" si="40"/>
        <v>0</v>
      </c>
      <c r="T109" s="4">
        <f t="shared" si="40"/>
        <v>0</v>
      </c>
      <c r="U109" s="4">
        <f>IF(U26&lt;$L$12,0,IF(U26&gt;=$L$12+$L$13,0,-$L$14))</f>
        <v>0</v>
      </c>
      <c r="V109" s="4">
        <f>IF(V26&lt;$L$12,0,IF(V26&gt;=$L$12+$L$13,0,-$L$14))</f>
        <v>0</v>
      </c>
    </row>
    <row r="110" spans="1:22" ht="12">
      <c r="A110" t="s">
        <v>51</v>
      </c>
      <c r="E110" s="11">
        <f>L7</f>
        <v>500000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</row>
    <row r="111" spans="1:22" ht="12">
      <c r="A111" t="s">
        <v>50</v>
      </c>
      <c r="E111" s="4">
        <f>SUM(E108:E110)</f>
        <v>500000</v>
      </c>
      <c r="F111" s="4">
        <f>SUM(F108:F110)</f>
        <v>500000</v>
      </c>
      <c r="G111" s="4">
        <f aca="true" t="shared" si="41" ref="G111:T111">SUM(G108:G110)</f>
        <v>500000</v>
      </c>
      <c r="H111" s="4">
        <f t="shared" si="41"/>
        <v>500000</v>
      </c>
      <c r="I111" s="4">
        <f t="shared" si="41"/>
        <v>500000</v>
      </c>
      <c r="J111" s="4">
        <f t="shared" si="41"/>
        <v>500000</v>
      </c>
      <c r="K111" s="4">
        <f t="shared" si="41"/>
        <v>500000</v>
      </c>
      <c r="L111" s="4">
        <f t="shared" si="41"/>
        <v>0</v>
      </c>
      <c r="M111" s="4">
        <f t="shared" si="41"/>
        <v>0</v>
      </c>
      <c r="N111" s="4">
        <f t="shared" si="41"/>
        <v>0</v>
      </c>
      <c r="O111" s="4">
        <f t="shared" si="41"/>
        <v>0</v>
      </c>
      <c r="P111" s="4">
        <f t="shared" si="41"/>
        <v>0</v>
      </c>
      <c r="Q111" s="4">
        <f t="shared" si="41"/>
        <v>0</v>
      </c>
      <c r="R111" s="4">
        <f t="shared" si="41"/>
        <v>0</v>
      </c>
      <c r="S111" s="4">
        <f t="shared" si="41"/>
        <v>0</v>
      </c>
      <c r="T111" s="4">
        <f t="shared" si="41"/>
        <v>0</v>
      </c>
      <c r="U111" s="4">
        <f>SUM(U108:U110)</f>
        <v>0</v>
      </c>
      <c r="V111" s="4">
        <f>SUM(V108:V110)</f>
        <v>0</v>
      </c>
    </row>
    <row r="113" ht="12">
      <c r="A113" s="5" t="s">
        <v>55</v>
      </c>
    </row>
    <row r="114" spans="1:22" ht="12">
      <c r="A114" t="s">
        <v>48</v>
      </c>
      <c r="E114" s="4">
        <f>E90+E96+E102+E108</f>
        <v>0</v>
      </c>
      <c r="F114" s="4">
        <f aca="true" t="shared" si="42" ref="F114:R114">F90+F96+F102+F108</f>
        <v>5616900</v>
      </c>
      <c r="G114" s="4">
        <f t="shared" si="42"/>
        <v>5616900</v>
      </c>
      <c r="H114" s="4">
        <f t="shared" si="42"/>
        <v>5616900</v>
      </c>
      <c r="I114" s="4">
        <f t="shared" si="42"/>
        <v>5616900</v>
      </c>
      <c r="J114" s="4">
        <f t="shared" si="42"/>
        <v>5616900</v>
      </c>
      <c r="K114" s="4">
        <f t="shared" si="42"/>
        <v>5616900</v>
      </c>
      <c r="L114" s="4">
        <f t="shared" si="42"/>
        <v>5616900</v>
      </c>
      <c r="M114" s="4">
        <f t="shared" si="42"/>
        <v>4385914.285714285</v>
      </c>
      <c r="N114" s="4">
        <f t="shared" si="42"/>
        <v>3654928.5714285714</v>
      </c>
      <c r="O114" s="4">
        <f t="shared" si="42"/>
        <v>2923942.8571428573</v>
      </c>
      <c r="P114" s="4">
        <f t="shared" si="42"/>
        <v>2192957.1428571427</v>
      </c>
      <c r="Q114" s="4">
        <f t="shared" si="42"/>
        <v>1461971.4285714286</v>
      </c>
      <c r="R114" s="4">
        <f t="shared" si="42"/>
        <v>730985.7142857143</v>
      </c>
      <c r="S114" s="4">
        <f>ROUND(S90+S96+S102+S108,0)</f>
        <v>0</v>
      </c>
      <c r="T114" s="4">
        <f>ROUND(T90+T96+T102+T108,0)</f>
        <v>0</v>
      </c>
      <c r="U114" s="4">
        <f>ROUND(U90+U96+U102+U108,0)</f>
        <v>0</v>
      </c>
      <c r="V114" s="4">
        <f>ROUND(V90+V96+V102+V108,0)</f>
        <v>0</v>
      </c>
    </row>
    <row r="115" spans="1:22" ht="12">
      <c r="A115" t="s">
        <v>49</v>
      </c>
      <c r="E115" s="4">
        <f aca="true" t="shared" si="43" ref="E115:T116">E91+E97+E103+E109</f>
        <v>0</v>
      </c>
      <c r="F115" s="4">
        <f t="shared" si="43"/>
        <v>0</v>
      </c>
      <c r="G115" s="4">
        <f t="shared" si="43"/>
        <v>0</v>
      </c>
      <c r="H115" s="4">
        <f t="shared" si="43"/>
        <v>0</v>
      </c>
      <c r="I115" s="4">
        <f t="shared" si="43"/>
        <v>0</v>
      </c>
      <c r="J115" s="4">
        <f t="shared" si="43"/>
        <v>0</v>
      </c>
      <c r="K115" s="4">
        <f t="shared" si="43"/>
        <v>0</v>
      </c>
      <c r="L115" s="4">
        <f t="shared" si="43"/>
        <v>-1230985.7142857143</v>
      </c>
      <c r="M115" s="4">
        <f t="shared" si="43"/>
        <v>-730985.7142857143</v>
      </c>
      <c r="N115" s="4">
        <f t="shared" si="43"/>
        <v>-730985.7142857143</v>
      </c>
      <c r="O115" s="4">
        <f t="shared" si="43"/>
        <v>-730985.7142857143</v>
      </c>
      <c r="P115" s="4">
        <f t="shared" si="43"/>
        <v>-730985.7142857143</v>
      </c>
      <c r="Q115" s="4">
        <f t="shared" si="43"/>
        <v>-730985.7142857143</v>
      </c>
      <c r="R115" s="4">
        <f t="shared" si="43"/>
        <v>-730985.7142857143</v>
      </c>
      <c r="S115" s="4">
        <f t="shared" si="43"/>
        <v>0</v>
      </c>
      <c r="T115" s="4">
        <f t="shared" si="43"/>
        <v>0</v>
      </c>
      <c r="U115" s="4">
        <f>U91+U97+U103+U109</f>
        <v>0</v>
      </c>
      <c r="V115" s="4">
        <f>V91+V97+V103+V109</f>
        <v>0</v>
      </c>
    </row>
    <row r="116" spans="1:22" ht="12">
      <c r="A116" t="s">
        <v>51</v>
      </c>
      <c r="E116" s="11">
        <f t="shared" si="43"/>
        <v>5616900</v>
      </c>
      <c r="F116" s="11">
        <f t="shared" si="43"/>
        <v>0</v>
      </c>
      <c r="G116" s="11">
        <f t="shared" si="43"/>
        <v>0</v>
      </c>
      <c r="H116" s="11">
        <f t="shared" si="43"/>
        <v>0</v>
      </c>
      <c r="I116" s="11">
        <f t="shared" si="43"/>
        <v>0</v>
      </c>
      <c r="J116" s="11">
        <f t="shared" si="43"/>
        <v>0</v>
      </c>
      <c r="K116" s="11">
        <f t="shared" si="43"/>
        <v>0</v>
      </c>
      <c r="L116" s="11">
        <f t="shared" si="43"/>
        <v>0</v>
      </c>
      <c r="M116" s="11">
        <f t="shared" si="43"/>
        <v>0</v>
      </c>
      <c r="N116" s="11">
        <f t="shared" si="43"/>
        <v>0</v>
      </c>
      <c r="O116" s="11">
        <f t="shared" si="43"/>
        <v>0</v>
      </c>
      <c r="P116" s="11">
        <f t="shared" si="43"/>
        <v>0</v>
      </c>
      <c r="Q116" s="11">
        <f t="shared" si="43"/>
        <v>0</v>
      </c>
      <c r="R116" s="11">
        <f t="shared" si="43"/>
        <v>0</v>
      </c>
      <c r="S116" s="11">
        <f t="shared" si="43"/>
        <v>0</v>
      </c>
      <c r="T116" s="11">
        <f t="shared" si="43"/>
        <v>0</v>
      </c>
      <c r="U116" s="11">
        <f>U92+U98+U104+U110</f>
        <v>0</v>
      </c>
      <c r="V116" s="11">
        <f>V92+V98+V104+V110</f>
        <v>0</v>
      </c>
    </row>
    <row r="117" spans="1:22" ht="12">
      <c r="A117" t="s">
        <v>50</v>
      </c>
      <c r="E117" s="4">
        <f aca="true" t="shared" si="44" ref="E117:T117">SUM(E114:E116)</f>
        <v>5616900</v>
      </c>
      <c r="F117" s="4">
        <f t="shared" si="44"/>
        <v>5616900</v>
      </c>
      <c r="G117" s="4">
        <f t="shared" si="44"/>
        <v>5616900</v>
      </c>
      <c r="H117" s="4">
        <f t="shared" si="44"/>
        <v>5616900</v>
      </c>
      <c r="I117" s="4">
        <f t="shared" si="44"/>
        <v>5616900</v>
      </c>
      <c r="J117" s="4">
        <f t="shared" si="44"/>
        <v>5616900</v>
      </c>
      <c r="K117" s="4">
        <f t="shared" si="44"/>
        <v>5616900</v>
      </c>
      <c r="L117" s="4">
        <f t="shared" si="44"/>
        <v>4385914.285714285</v>
      </c>
      <c r="M117" s="4">
        <f t="shared" si="44"/>
        <v>3654928.571428571</v>
      </c>
      <c r="N117" s="4">
        <f t="shared" si="44"/>
        <v>2923942.8571428573</v>
      </c>
      <c r="O117" s="4">
        <f t="shared" si="44"/>
        <v>2192957.1428571427</v>
      </c>
      <c r="P117" s="4">
        <f t="shared" si="44"/>
        <v>1461971.4285714284</v>
      </c>
      <c r="Q117" s="4">
        <f t="shared" si="44"/>
        <v>730985.7142857143</v>
      </c>
      <c r="R117" s="4">
        <f t="shared" si="44"/>
        <v>0</v>
      </c>
      <c r="S117" s="4">
        <f t="shared" si="44"/>
        <v>0</v>
      </c>
      <c r="T117" s="4">
        <f t="shared" si="44"/>
        <v>0</v>
      </c>
      <c r="U117" s="4">
        <f>SUM(U114:U116)</f>
        <v>0</v>
      </c>
      <c r="V117" s="4">
        <f>SUM(V114:V116)</f>
        <v>0</v>
      </c>
    </row>
    <row r="119" spans="1:18" ht="12">
      <c r="A119" t="s">
        <v>97</v>
      </c>
      <c r="E119" s="25"/>
      <c r="F119" s="25">
        <v>-1350000</v>
      </c>
      <c r="G119" s="25">
        <v>0</v>
      </c>
      <c r="H119" s="25">
        <v>-2250000</v>
      </c>
      <c r="I119" s="25">
        <v>-4700000</v>
      </c>
      <c r="J119" s="25">
        <v>-10700000</v>
      </c>
      <c r="K119" s="25">
        <v>-18450000</v>
      </c>
      <c r="L119" s="25">
        <f>-8445000-500000</f>
        <v>-8945000</v>
      </c>
      <c r="M119" s="25">
        <v>-8000000</v>
      </c>
      <c r="N119" s="25">
        <v>-3000000</v>
      </c>
      <c r="O119" s="25">
        <v>-650000</v>
      </c>
      <c r="P119" s="25">
        <v>-1000000</v>
      </c>
      <c r="Q119" s="25">
        <v>-500000</v>
      </c>
      <c r="R119" s="25">
        <v>-500000</v>
      </c>
    </row>
    <row r="120" spans="5:22" ht="12">
      <c r="E120" s="21">
        <v>1</v>
      </c>
      <c r="F120" s="22">
        <f aca="true" t="shared" si="45" ref="F120:V120">E120*(1+$D$22)</f>
        <v>1.03</v>
      </c>
      <c r="G120" s="22">
        <f t="shared" si="45"/>
        <v>1.0609</v>
      </c>
      <c r="H120" s="22">
        <f t="shared" si="45"/>
        <v>1.092727</v>
      </c>
      <c r="I120" s="22">
        <f t="shared" si="45"/>
        <v>1.1255088100000001</v>
      </c>
      <c r="J120" s="22">
        <f t="shared" si="45"/>
        <v>1.1592740743</v>
      </c>
      <c r="K120" s="22">
        <f t="shared" si="45"/>
        <v>1.1940522965290001</v>
      </c>
      <c r="L120" s="22">
        <f t="shared" si="45"/>
        <v>1.2298738654248702</v>
      </c>
      <c r="M120" s="22">
        <f t="shared" si="45"/>
        <v>1.2667700813876164</v>
      </c>
      <c r="N120" s="22">
        <f t="shared" si="45"/>
        <v>1.304773183829245</v>
      </c>
      <c r="O120" s="22">
        <f t="shared" si="45"/>
        <v>1.3439163793441222</v>
      </c>
      <c r="P120" s="22">
        <f t="shared" si="45"/>
        <v>1.384233870724446</v>
      </c>
      <c r="Q120" s="22">
        <f t="shared" si="45"/>
        <v>1.4257608868461793</v>
      </c>
      <c r="R120" s="22">
        <f t="shared" si="45"/>
        <v>1.4685337134515648</v>
      </c>
      <c r="S120" s="22">
        <f t="shared" si="45"/>
        <v>1.512589724855112</v>
      </c>
      <c r="T120" s="22">
        <f t="shared" si="45"/>
        <v>1.5579674166007653</v>
      </c>
      <c r="U120" s="22">
        <f t="shared" si="45"/>
        <v>1.6047064390987884</v>
      </c>
      <c r="V120" s="22">
        <f t="shared" si="45"/>
        <v>1.652847632271752</v>
      </c>
    </row>
    <row r="121" spans="1:22" ht="12">
      <c r="A121" t="s">
        <v>98</v>
      </c>
      <c r="E121" s="25">
        <f>E119*E120</f>
        <v>0</v>
      </c>
      <c r="F121" s="25">
        <f>F119*F120</f>
        <v>-1390500</v>
      </c>
      <c r="G121" s="25">
        <f>G119*G120</f>
        <v>0</v>
      </c>
      <c r="H121" s="25">
        <f aca="true" t="shared" si="46" ref="H121:U121">H119*H120</f>
        <v>-2458635.75</v>
      </c>
      <c r="I121" s="25">
        <f t="shared" si="46"/>
        <v>-5289891.407000001</v>
      </c>
      <c r="J121" s="25">
        <f t="shared" si="46"/>
        <v>-12404232.595010001</v>
      </c>
      <c r="K121" s="25">
        <f t="shared" si="46"/>
        <v>-22030264.870960053</v>
      </c>
      <c r="L121" s="25">
        <f t="shared" si="46"/>
        <v>-11001221.726225464</v>
      </c>
      <c r="M121" s="25">
        <f t="shared" si="46"/>
        <v>-10134160.651100932</v>
      </c>
      <c r="N121" s="25">
        <f t="shared" si="46"/>
        <v>-3914319.5514877345</v>
      </c>
      <c r="O121" s="25">
        <f t="shared" si="46"/>
        <v>-873545.6465736794</v>
      </c>
      <c r="P121" s="25">
        <f t="shared" si="46"/>
        <v>-1384233.870724446</v>
      </c>
      <c r="Q121" s="25">
        <f t="shared" si="46"/>
        <v>-712880.4434230897</v>
      </c>
      <c r="R121" s="25">
        <f t="shared" si="46"/>
        <v>-734266.8567257824</v>
      </c>
      <c r="S121" s="25">
        <f t="shared" si="46"/>
        <v>0</v>
      </c>
      <c r="T121" s="25">
        <f>T119*T120</f>
        <v>0</v>
      </c>
      <c r="U121" s="25">
        <f t="shared" si="46"/>
        <v>0</v>
      </c>
      <c r="V121" s="25">
        <f>V119*V120</f>
        <v>0</v>
      </c>
    </row>
  </sheetData>
  <mergeCells count="2">
    <mergeCell ref="Q5:S5"/>
    <mergeCell ref="I5:L5"/>
  </mergeCells>
  <printOptions/>
  <pageMargins left="0.5" right="0.5" top="0.5" bottom="0.5" header="0" footer="0"/>
  <pageSetup fitToHeight="1" fitToWidth="1" horizontalDpi="300" verticalDpi="300" orientation="landscape" scale="51"/>
  <headerFooter alignWithMargins="0">
    <oddHeader>&amp;R&amp;F, &amp;A:  Page &amp;P of &amp;N</oddHeader>
    <oddFooter>&amp;LConfidential Draft - &amp;T on &amp;D&amp;RWells Hill Partners, Ltd.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1"/>
  <sheetViews>
    <sheetView workbookViewId="0" topLeftCell="A1">
      <selection activeCell="A1" sqref="A1"/>
    </sheetView>
  </sheetViews>
  <sheetFormatPr defaultColWidth="8.8515625" defaultRowHeight="12.75"/>
  <cols>
    <col min="1" max="3" width="10.28125" style="0" customWidth="1"/>
    <col min="4" max="25" width="11.7109375" style="0" customWidth="1"/>
  </cols>
  <sheetData>
    <row r="1" ht="15">
      <c r="A1" s="2" t="s">
        <v>119</v>
      </c>
    </row>
    <row r="2" ht="15">
      <c r="A2" s="1" t="s">
        <v>87</v>
      </c>
    </row>
    <row r="5" spans="1:19" ht="12">
      <c r="A5" s="5" t="s">
        <v>8</v>
      </c>
      <c r="I5" s="54" t="s">
        <v>92</v>
      </c>
      <c r="J5" s="54"/>
      <c r="K5" s="54"/>
      <c r="L5" s="54"/>
      <c r="Q5" s="54" t="s">
        <v>74</v>
      </c>
      <c r="R5" s="54"/>
      <c r="S5" s="54"/>
    </row>
    <row r="6" spans="1:25" ht="12">
      <c r="A6" t="s">
        <v>89</v>
      </c>
      <c r="D6" s="3">
        <f>15014018*(1+$I$20)</f>
        <v>15014018</v>
      </c>
      <c r="I6" s="10" t="s">
        <v>39</v>
      </c>
      <c r="J6" s="10" t="s">
        <v>40</v>
      </c>
      <c r="K6" s="10" t="s">
        <v>41</v>
      </c>
      <c r="L6" s="10" t="s">
        <v>42</v>
      </c>
      <c r="Q6" s="10" t="s">
        <v>63</v>
      </c>
      <c r="R6" s="10" t="s">
        <v>65</v>
      </c>
      <c r="S6" s="10" t="s">
        <v>64</v>
      </c>
      <c r="V6" s="10"/>
      <c r="X6" s="10"/>
      <c r="Y6" s="10"/>
    </row>
    <row r="7" spans="1:25" ht="12">
      <c r="A7" t="s">
        <v>103</v>
      </c>
      <c r="C7" s="28">
        <v>0.015</v>
      </c>
      <c r="D7" s="20">
        <f>D6*C7</f>
        <v>225210.27</v>
      </c>
      <c r="F7" t="s">
        <v>36</v>
      </c>
      <c r="I7" s="4">
        <v>0</v>
      </c>
      <c r="J7" s="4">
        <v>0</v>
      </c>
      <c r="K7" s="4">
        <f>SUM(Q10:S10)</f>
        <v>487800</v>
      </c>
      <c r="L7" s="4">
        <v>0</v>
      </c>
      <c r="N7" t="s">
        <v>68</v>
      </c>
      <c r="Q7" s="4">
        <v>0</v>
      </c>
      <c r="R7" s="4">
        <v>70</v>
      </c>
      <c r="S7" s="4">
        <v>174</v>
      </c>
      <c r="X7" s="4"/>
      <c r="Y7" s="4"/>
    </row>
    <row r="8" spans="1:25" ht="12">
      <c r="A8" t="s">
        <v>96</v>
      </c>
      <c r="D8" s="3">
        <f>SUM(D6:D7)</f>
        <v>15239228.27</v>
      </c>
      <c r="F8" t="s">
        <v>37</v>
      </c>
      <c r="I8" s="16">
        <v>0</v>
      </c>
      <c r="J8" s="16">
        <v>0</v>
      </c>
      <c r="K8" s="16">
        <f>K9/K7</f>
        <v>37.14637146371464</v>
      </c>
      <c r="L8" s="16">
        <v>0</v>
      </c>
      <c r="N8" t="s">
        <v>67</v>
      </c>
      <c r="Q8" s="3">
        <v>0</v>
      </c>
      <c r="R8" s="3">
        <v>60000</v>
      </c>
      <c r="S8" s="3">
        <v>80000</v>
      </c>
      <c r="X8" s="3"/>
      <c r="Y8" s="3"/>
    </row>
    <row r="9" spans="6:25" ht="12">
      <c r="F9" t="s">
        <v>94</v>
      </c>
      <c r="I9" s="3">
        <f>I7*I8</f>
        <v>0</v>
      </c>
      <c r="J9" s="3">
        <f>J7*J8</f>
        <v>0</v>
      </c>
      <c r="K9" s="3">
        <f>SUM(Q9:S9)</f>
        <v>18120000</v>
      </c>
      <c r="L9" s="3">
        <f>L10*L11</f>
        <v>0</v>
      </c>
      <c r="N9" t="s">
        <v>94</v>
      </c>
      <c r="Q9" s="3">
        <f>Q7*Q8</f>
        <v>0</v>
      </c>
      <c r="R9" s="3">
        <f>R7*R8</f>
        <v>4200000</v>
      </c>
      <c r="S9" s="3">
        <f>S7*S8</f>
        <v>13920000</v>
      </c>
      <c r="X9" s="3"/>
      <c r="Y9" s="3"/>
    </row>
    <row r="10" spans="1:25" ht="12">
      <c r="A10" t="s">
        <v>90</v>
      </c>
      <c r="D10" s="4">
        <f>SUM(I7:L7)</f>
        <v>487800</v>
      </c>
      <c r="F10" t="s">
        <v>66</v>
      </c>
      <c r="I10" s="17" t="s">
        <v>71</v>
      </c>
      <c r="J10" s="17" t="s">
        <v>71</v>
      </c>
      <c r="K10" s="4">
        <f>SUM(Q7:S7)</f>
        <v>244</v>
      </c>
      <c r="L10" s="4">
        <v>0</v>
      </c>
      <c r="N10" t="s">
        <v>36</v>
      </c>
      <c r="Q10" s="4">
        <v>0</v>
      </c>
      <c r="R10" s="4">
        <v>105000</v>
      </c>
      <c r="S10" s="4">
        <v>382800</v>
      </c>
      <c r="Y10" s="4"/>
    </row>
    <row r="11" spans="1:25" ht="12">
      <c r="A11" t="s">
        <v>91</v>
      </c>
      <c r="D11" s="16">
        <f>D6/D10</f>
        <v>30.779044690446906</v>
      </c>
      <c r="F11" t="s">
        <v>43</v>
      </c>
      <c r="I11" s="17" t="s">
        <v>71</v>
      </c>
      <c r="J11" s="17" t="s">
        <v>71</v>
      </c>
      <c r="K11" s="17">
        <f>K9/K10</f>
        <v>74262.29508196721</v>
      </c>
      <c r="L11" s="3">
        <v>0</v>
      </c>
      <c r="N11" t="s">
        <v>37</v>
      </c>
      <c r="Q11" s="16">
        <v>0</v>
      </c>
      <c r="R11" s="16">
        <f>R9/R10</f>
        <v>40</v>
      </c>
      <c r="S11" s="16">
        <f>S9/S10</f>
        <v>36.36363636363637</v>
      </c>
      <c r="X11" s="4"/>
      <c r="Y11" s="4"/>
    </row>
    <row r="12" spans="6:25" ht="12">
      <c r="F12" t="s">
        <v>13</v>
      </c>
      <c r="I12" s="7">
        <v>0</v>
      </c>
      <c r="J12" s="7">
        <v>0</v>
      </c>
      <c r="K12" s="7">
        <v>2002</v>
      </c>
      <c r="L12" s="7">
        <v>0</v>
      </c>
      <c r="N12" s="4" t="s">
        <v>69</v>
      </c>
      <c r="Q12" s="4">
        <v>0</v>
      </c>
      <c r="R12" s="4">
        <f>R10/R7</f>
        <v>1500</v>
      </c>
      <c r="S12" s="4">
        <f>S10/S7</f>
        <v>2200</v>
      </c>
      <c r="V12" s="7"/>
      <c r="W12" s="7"/>
      <c r="X12" s="16"/>
      <c r="Y12" s="16"/>
    </row>
    <row r="13" spans="1:25" ht="12">
      <c r="A13" t="s">
        <v>56</v>
      </c>
      <c r="D13" s="3">
        <v>149850</v>
      </c>
      <c r="F13" t="s">
        <v>12</v>
      </c>
      <c r="I13" s="4">
        <v>0</v>
      </c>
      <c r="J13" s="4">
        <v>0</v>
      </c>
      <c r="K13" s="4">
        <v>1</v>
      </c>
      <c r="L13" s="4">
        <v>0</v>
      </c>
      <c r="O13" s="3"/>
      <c r="V13" s="4"/>
      <c r="W13" s="4"/>
      <c r="X13" s="4"/>
      <c r="Y13" s="4"/>
    </row>
    <row r="14" spans="1:17" ht="12">
      <c r="A14" t="s">
        <v>44</v>
      </c>
      <c r="D14" s="16">
        <f>D13/D10</f>
        <v>0.30719557195571956</v>
      </c>
      <c r="E14" s="16"/>
      <c r="F14" t="s">
        <v>38</v>
      </c>
      <c r="I14" s="4">
        <v>0</v>
      </c>
      <c r="J14" s="4">
        <v>0</v>
      </c>
      <c r="K14" s="4">
        <f>K7/K13</f>
        <v>487800</v>
      </c>
      <c r="L14" s="4">
        <v>0</v>
      </c>
      <c r="N14" t="s">
        <v>70</v>
      </c>
      <c r="Q14" s="16">
        <f>((Q11*Q10)+(R11*R10)+(S11*S10))/(Q10+R10+S10)</f>
        <v>37.14637146371464</v>
      </c>
    </row>
    <row r="15" spans="1:18" ht="12">
      <c r="A15" t="s">
        <v>46</v>
      </c>
      <c r="D15" s="3">
        <v>5000</v>
      </c>
      <c r="F15" t="s">
        <v>93</v>
      </c>
      <c r="I15" s="3">
        <v>0</v>
      </c>
      <c r="J15" s="3">
        <v>0</v>
      </c>
      <c r="K15" s="3">
        <f>K9/K13</f>
        <v>18120000</v>
      </c>
      <c r="L15" s="3">
        <v>0</v>
      </c>
      <c r="N15" s="3" t="s">
        <v>72</v>
      </c>
      <c r="O15" s="3"/>
      <c r="P15" s="3"/>
      <c r="Q15" s="3">
        <f>((Q8*Q7)+(R8*R7)+(S8*S7))/(Q7+R7+S7)</f>
        <v>74262.29508196721</v>
      </c>
      <c r="R15" s="3"/>
    </row>
    <row r="16" spans="1:18" ht="12">
      <c r="A16" t="s">
        <v>45</v>
      </c>
      <c r="D16" s="16">
        <v>0</v>
      </c>
      <c r="O16" s="3"/>
      <c r="P16" s="3"/>
      <c r="Q16" s="3"/>
      <c r="R16" s="3"/>
    </row>
    <row r="17" spans="6:12" ht="12">
      <c r="F17" t="s">
        <v>58</v>
      </c>
      <c r="I17" s="3">
        <f>0*I14</f>
        <v>0</v>
      </c>
      <c r="J17" s="3">
        <f>0*J14</f>
        <v>0</v>
      </c>
      <c r="K17" s="3">
        <f>0*K14</f>
        <v>0</v>
      </c>
      <c r="L17" s="3">
        <f>0*L14</f>
        <v>0</v>
      </c>
    </row>
    <row r="18" spans="1:12" ht="12">
      <c r="A18" t="s">
        <v>99</v>
      </c>
      <c r="D18" s="16">
        <f>SUM(E119:T119)</f>
        <v>0</v>
      </c>
      <c r="F18" t="s">
        <v>57</v>
      </c>
      <c r="I18" s="3">
        <v>0</v>
      </c>
      <c r="J18" s="3">
        <v>0</v>
      </c>
      <c r="K18" s="16">
        <f>K17/K13</f>
        <v>0</v>
      </c>
      <c r="L18" s="3">
        <v>0</v>
      </c>
    </row>
    <row r="19" spans="1:4" ht="12">
      <c r="A19" t="s">
        <v>76</v>
      </c>
      <c r="D19" s="16">
        <v>0.5</v>
      </c>
    </row>
    <row r="20" spans="1:9" ht="12">
      <c r="A20" t="s">
        <v>11</v>
      </c>
      <c r="D20" s="6">
        <f>Alexandria!D22</f>
        <v>0.03</v>
      </c>
      <c r="F20" t="s">
        <v>102</v>
      </c>
      <c r="I20" s="21">
        <f>Alexandria!I20</f>
        <v>0</v>
      </c>
    </row>
    <row r="21" spans="1:4" ht="12">
      <c r="A21" t="s">
        <v>10</v>
      </c>
      <c r="D21" s="6">
        <v>0.05</v>
      </c>
    </row>
    <row r="22" ht="12" hidden="1"/>
    <row r="23" ht="12" hidden="1">
      <c r="I23" s="21"/>
    </row>
    <row r="24" ht="12">
      <c r="I24" s="21"/>
    </row>
    <row r="26" spans="1:20" ht="12">
      <c r="A26" s="8" t="s">
        <v>14</v>
      </c>
      <c r="B26" s="8"/>
      <c r="C26" s="8"/>
      <c r="D26" s="8"/>
      <c r="E26" s="8">
        <v>2001</v>
      </c>
      <c r="F26" s="9">
        <v>2002</v>
      </c>
      <c r="G26" s="8">
        <v>2003</v>
      </c>
      <c r="H26" s="9">
        <v>2004</v>
      </c>
      <c r="I26" s="8">
        <v>2005</v>
      </c>
      <c r="J26" s="9">
        <v>2006</v>
      </c>
      <c r="K26" s="8">
        <v>2007</v>
      </c>
      <c r="L26" s="9">
        <v>2008</v>
      </c>
      <c r="M26" s="8">
        <v>2009</v>
      </c>
      <c r="N26" s="9">
        <v>2010</v>
      </c>
      <c r="O26" s="8">
        <v>2011</v>
      </c>
      <c r="P26" s="9">
        <v>2012</v>
      </c>
      <c r="Q26" s="8">
        <v>2013</v>
      </c>
      <c r="R26" s="9">
        <v>2014</v>
      </c>
      <c r="S26" s="8">
        <v>2015</v>
      </c>
      <c r="T26" s="9">
        <v>2016</v>
      </c>
    </row>
    <row r="27" spans="1:20" ht="12">
      <c r="A27" t="s">
        <v>15</v>
      </c>
      <c r="E27">
        <v>0</v>
      </c>
      <c r="F27" s="7">
        <v>1</v>
      </c>
      <c r="G27" s="7">
        <v>2</v>
      </c>
      <c r="H27" s="7">
        <v>3</v>
      </c>
      <c r="I27" s="7">
        <v>4</v>
      </c>
      <c r="J27" s="7">
        <v>5</v>
      </c>
      <c r="K27" s="7">
        <v>6</v>
      </c>
      <c r="L27" s="7">
        <v>7</v>
      </c>
      <c r="M27" s="7">
        <v>8</v>
      </c>
      <c r="N27" s="7">
        <v>9</v>
      </c>
      <c r="O27" s="7">
        <v>10</v>
      </c>
      <c r="P27" s="7">
        <v>11</v>
      </c>
      <c r="Q27" s="7">
        <v>12</v>
      </c>
      <c r="R27" s="7">
        <v>13</v>
      </c>
      <c r="S27" s="7">
        <v>14</v>
      </c>
      <c r="T27" s="7">
        <v>15</v>
      </c>
    </row>
    <row r="29" ht="12">
      <c r="A29" s="5" t="s">
        <v>16</v>
      </c>
    </row>
    <row r="30" ht="12" hidden="1">
      <c r="A30" s="5"/>
    </row>
    <row r="31" ht="12" hidden="1">
      <c r="A31" s="5"/>
    </row>
    <row r="32" spans="1:20" ht="12">
      <c r="A32" t="s">
        <v>17</v>
      </c>
      <c r="E32" s="4">
        <f aca="true" t="shared" si="0" ref="E32:T32">IF(E26&lt;$I$12,0,IF(E26&gt;=$I$12+$I$13,0,$I$15*(1+$D$20)^(E27-$E$27)))</f>
        <v>0</v>
      </c>
      <c r="F32" s="4">
        <f t="shared" si="0"/>
        <v>0</v>
      </c>
      <c r="G32" s="4">
        <f t="shared" si="0"/>
        <v>0</v>
      </c>
      <c r="H32" s="4">
        <f t="shared" si="0"/>
        <v>0</v>
      </c>
      <c r="I32" s="4">
        <f t="shared" si="0"/>
        <v>0</v>
      </c>
      <c r="J32" s="4">
        <f t="shared" si="0"/>
        <v>0</v>
      </c>
      <c r="K32" s="4">
        <f t="shared" si="0"/>
        <v>0</v>
      </c>
      <c r="L32" s="4">
        <f t="shared" si="0"/>
        <v>0</v>
      </c>
      <c r="M32" s="4">
        <f t="shared" si="0"/>
        <v>0</v>
      </c>
      <c r="N32" s="4">
        <f t="shared" si="0"/>
        <v>0</v>
      </c>
      <c r="O32" s="4">
        <f t="shared" si="0"/>
        <v>0</v>
      </c>
      <c r="P32" s="4">
        <f t="shared" si="0"/>
        <v>0</v>
      </c>
      <c r="Q32" s="4">
        <f t="shared" si="0"/>
        <v>0</v>
      </c>
      <c r="R32" s="4">
        <f t="shared" si="0"/>
        <v>0</v>
      </c>
      <c r="S32" s="4">
        <f t="shared" si="0"/>
        <v>0</v>
      </c>
      <c r="T32" s="4">
        <f t="shared" si="0"/>
        <v>0</v>
      </c>
    </row>
    <row r="33" spans="1:20" ht="12">
      <c r="A33" t="s">
        <v>18</v>
      </c>
      <c r="E33" s="4">
        <f aca="true" t="shared" si="1" ref="E33:T33">IF(E26&lt;$J$12,0,IF(E26&gt;=$J$12+$J$13,0,$J$15*(1+$D$20)^(E27-$E$27)))</f>
        <v>0</v>
      </c>
      <c r="F33" s="4">
        <f t="shared" si="1"/>
        <v>0</v>
      </c>
      <c r="G33" s="4">
        <f t="shared" si="1"/>
        <v>0</v>
      </c>
      <c r="H33" s="4">
        <f t="shared" si="1"/>
        <v>0</v>
      </c>
      <c r="I33" s="4">
        <f t="shared" si="1"/>
        <v>0</v>
      </c>
      <c r="J33" s="4">
        <f t="shared" si="1"/>
        <v>0</v>
      </c>
      <c r="K33" s="4">
        <f t="shared" si="1"/>
        <v>0</v>
      </c>
      <c r="L33" s="4">
        <f t="shared" si="1"/>
        <v>0</v>
      </c>
      <c r="M33" s="4">
        <f t="shared" si="1"/>
        <v>0</v>
      </c>
      <c r="N33" s="4">
        <f t="shared" si="1"/>
        <v>0</v>
      </c>
      <c r="O33" s="4">
        <f t="shared" si="1"/>
        <v>0</v>
      </c>
      <c r="P33" s="4">
        <f t="shared" si="1"/>
        <v>0</v>
      </c>
      <c r="Q33" s="4">
        <f t="shared" si="1"/>
        <v>0</v>
      </c>
      <c r="R33" s="4">
        <f t="shared" si="1"/>
        <v>0</v>
      </c>
      <c r="S33" s="4">
        <f t="shared" si="1"/>
        <v>0</v>
      </c>
      <c r="T33" s="4">
        <f t="shared" si="1"/>
        <v>0</v>
      </c>
    </row>
    <row r="34" spans="1:20" ht="12">
      <c r="A34" t="s">
        <v>19</v>
      </c>
      <c r="E34" s="4">
        <f aca="true" t="shared" si="2" ref="E34:T34">IF(E26&lt;$K$12,0,IF(E26&gt;=$K$12+$K$13,0,$K$15*(1+$D$20)^(E27-$E$27)))</f>
        <v>0</v>
      </c>
      <c r="F34" s="4">
        <f t="shared" si="2"/>
        <v>18663600</v>
      </c>
      <c r="G34" s="4">
        <f t="shared" si="2"/>
        <v>0</v>
      </c>
      <c r="H34" s="4">
        <f t="shared" si="2"/>
        <v>0</v>
      </c>
      <c r="I34" s="4">
        <f t="shared" si="2"/>
        <v>0</v>
      </c>
      <c r="J34" s="4">
        <f t="shared" si="2"/>
        <v>0</v>
      </c>
      <c r="K34" s="4">
        <f t="shared" si="2"/>
        <v>0</v>
      </c>
      <c r="L34" s="4">
        <f t="shared" si="2"/>
        <v>0</v>
      </c>
      <c r="M34" s="4">
        <f t="shared" si="2"/>
        <v>0</v>
      </c>
      <c r="N34" s="4">
        <f t="shared" si="2"/>
        <v>0</v>
      </c>
      <c r="O34" s="4">
        <f t="shared" si="2"/>
        <v>0</v>
      </c>
      <c r="P34" s="4">
        <f t="shared" si="2"/>
        <v>0</v>
      </c>
      <c r="Q34" s="4">
        <f t="shared" si="2"/>
        <v>0</v>
      </c>
      <c r="R34" s="4">
        <f t="shared" si="2"/>
        <v>0</v>
      </c>
      <c r="S34" s="4">
        <f t="shared" si="2"/>
        <v>0</v>
      </c>
      <c r="T34" s="4">
        <f t="shared" si="2"/>
        <v>0</v>
      </c>
    </row>
    <row r="35" spans="1:20" ht="12">
      <c r="A35" t="s">
        <v>20</v>
      </c>
      <c r="E35" s="11">
        <f aca="true" t="shared" si="3" ref="E35:T35">IF(E26&lt;$L$12,0,IF(E26&gt;=$L$12+$L$13,0,$L$15*(1+$D$20)^(E27-$E$27)))</f>
        <v>0</v>
      </c>
      <c r="F35" s="11">
        <f t="shared" si="3"/>
        <v>0</v>
      </c>
      <c r="G35" s="11">
        <f t="shared" si="3"/>
        <v>0</v>
      </c>
      <c r="H35" s="11">
        <f t="shared" si="3"/>
        <v>0</v>
      </c>
      <c r="I35" s="11">
        <f t="shared" si="3"/>
        <v>0</v>
      </c>
      <c r="J35" s="11">
        <f t="shared" si="3"/>
        <v>0</v>
      </c>
      <c r="K35" s="11">
        <f t="shared" si="3"/>
        <v>0</v>
      </c>
      <c r="L35" s="11">
        <f t="shared" si="3"/>
        <v>0</v>
      </c>
      <c r="M35" s="11">
        <f t="shared" si="3"/>
        <v>0</v>
      </c>
      <c r="N35" s="11">
        <f t="shared" si="3"/>
        <v>0</v>
      </c>
      <c r="O35" s="11">
        <f t="shared" si="3"/>
        <v>0</v>
      </c>
      <c r="P35" s="11">
        <f t="shared" si="3"/>
        <v>0</v>
      </c>
      <c r="Q35" s="11">
        <f t="shared" si="3"/>
        <v>0</v>
      </c>
      <c r="R35" s="11">
        <f t="shared" si="3"/>
        <v>0</v>
      </c>
      <c r="S35" s="11">
        <f t="shared" si="3"/>
        <v>0</v>
      </c>
      <c r="T35" s="11">
        <f t="shared" si="3"/>
        <v>0</v>
      </c>
    </row>
    <row r="36" spans="1:20" ht="12">
      <c r="A36" t="s">
        <v>21</v>
      </c>
      <c r="E36" s="4">
        <f>SUM(E32:E35)</f>
        <v>0</v>
      </c>
      <c r="F36" s="4">
        <f aca="true" t="shared" si="4" ref="F36:T36">SUM(F32:F35)</f>
        <v>18663600</v>
      </c>
      <c r="G36" s="4">
        <f t="shared" si="4"/>
        <v>0</v>
      </c>
      <c r="H36" s="4">
        <f t="shared" si="4"/>
        <v>0</v>
      </c>
      <c r="I36" s="4">
        <f t="shared" si="4"/>
        <v>0</v>
      </c>
      <c r="J36" s="4">
        <f t="shared" si="4"/>
        <v>0</v>
      </c>
      <c r="K36" s="4">
        <f t="shared" si="4"/>
        <v>0</v>
      </c>
      <c r="L36" s="4">
        <f t="shared" si="4"/>
        <v>0</v>
      </c>
      <c r="M36" s="4">
        <f t="shared" si="4"/>
        <v>0</v>
      </c>
      <c r="N36" s="4">
        <f t="shared" si="4"/>
        <v>0</v>
      </c>
      <c r="O36" s="4">
        <f t="shared" si="4"/>
        <v>0</v>
      </c>
      <c r="P36" s="4">
        <f t="shared" si="4"/>
        <v>0</v>
      </c>
      <c r="Q36" s="4">
        <f t="shared" si="4"/>
        <v>0</v>
      </c>
      <c r="R36" s="4">
        <f t="shared" si="4"/>
        <v>0</v>
      </c>
      <c r="S36" s="4">
        <f t="shared" si="4"/>
        <v>0</v>
      </c>
      <c r="T36" s="4">
        <f t="shared" si="4"/>
        <v>0</v>
      </c>
    </row>
    <row r="37" spans="1:20" ht="12">
      <c r="A37" t="s">
        <v>10</v>
      </c>
      <c r="E37" s="11">
        <f aca="true" t="shared" si="5" ref="E37:T37">-(E36*$D$21)</f>
        <v>0</v>
      </c>
      <c r="F37" s="11">
        <f t="shared" si="5"/>
        <v>-933180</v>
      </c>
      <c r="G37" s="11">
        <f t="shared" si="5"/>
        <v>0</v>
      </c>
      <c r="H37" s="11">
        <f t="shared" si="5"/>
        <v>0</v>
      </c>
      <c r="I37" s="11">
        <f t="shared" si="5"/>
        <v>0</v>
      </c>
      <c r="J37" s="11">
        <f t="shared" si="5"/>
        <v>0</v>
      </c>
      <c r="K37" s="11">
        <f t="shared" si="5"/>
        <v>0</v>
      </c>
      <c r="L37" s="11">
        <f t="shared" si="5"/>
        <v>0</v>
      </c>
      <c r="M37" s="11">
        <f t="shared" si="5"/>
        <v>0</v>
      </c>
      <c r="N37" s="11">
        <f t="shared" si="5"/>
        <v>0</v>
      </c>
      <c r="O37" s="11">
        <f t="shared" si="5"/>
        <v>0</v>
      </c>
      <c r="P37" s="11">
        <f t="shared" si="5"/>
        <v>0</v>
      </c>
      <c r="Q37" s="11">
        <f t="shared" si="5"/>
        <v>0</v>
      </c>
      <c r="R37" s="11">
        <f t="shared" si="5"/>
        <v>0</v>
      </c>
      <c r="S37" s="11">
        <f t="shared" si="5"/>
        <v>0</v>
      </c>
      <c r="T37" s="11">
        <f t="shared" si="5"/>
        <v>0</v>
      </c>
    </row>
    <row r="38" spans="1:20" ht="12">
      <c r="A38" t="s">
        <v>27</v>
      </c>
      <c r="E38" s="4">
        <f>SUM(E36:E37)</f>
        <v>0</v>
      </c>
      <c r="F38" s="4">
        <f>SUM(F36:F37)</f>
        <v>17730420</v>
      </c>
      <c r="G38" s="4">
        <f aca="true" t="shared" si="6" ref="G38:T38">SUM(G36:G37)</f>
        <v>0</v>
      </c>
      <c r="H38" s="4">
        <f t="shared" si="6"/>
        <v>0</v>
      </c>
      <c r="I38" s="4">
        <f t="shared" si="6"/>
        <v>0</v>
      </c>
      <c r="J38" s="4">
        <f t="shared" si="6"/>
        <v>0</v>
      </c>
      <c r="K38" s="4">
        <f t="shared" si="6"/>
        <v>0</v>
      </c>
      <c r="L38" s="4">
        <f t="shared" si="6"/>
        <v>0</v>
      </c>
      <c r="M38" s="4">
        <f t="shared" si="6"/>
        <v>0</v>
      </c>
      <c r="N38" s="4">
        <f t="shared" si="6"/>
        <v>0</v>
      </c>
      <c r="O38" s="4">
        <f t="shared" si="6"/>
        <v>0</v>
      </c>
      <c r="P38" s="4">
        <f t="shared" si="6"/>
        <v>0</v>
      </c>
      <c r="Q38" s="4">
        <f t="shared" si="6"/>
        <v>0</v>
      </c>
      <c r="R38" s="4">
        <f t="shared" si="6"/>
        <v>0</v>
      </c>
      <c r="S38" s="4">
        <f t="shared" si="6"/>
        <v>0</v>
      </c>
      <c r="T38" s="4">
        <f t="shared" si="6"/>
        <v>0</v>
      </c>
    </row>
    <row r="40" ht="12">
      <c r="A40" s="5" t="s">
        <v>23</v>
      </c>
    </row>
    <row r="41" spans="1:20" ht="12">
      <c r="A41" t="s">
        <v>24</v>
      </c>
      <c r="E41" s="4">
        <f aca="true" t="shared" si="7" ref="E41:T41">-(E114*$D$14)*((1+$D$20)^(E27-$E$27))</f>
        <v>0</v>
      </c>
      <c r="F41" s="4">
        <f t="shared" si="7"/>
        <v>-154345.5</v>
      </c>
      <c r="G41" s="4">
        <f t="shared" si="7"/>
        <v>0</v>
      </c>
      <c r="H41" s="4">
        <f t="shared" si="7"/>
        <v>0</v>
      </c>
      <c r="I41" s="4">
        <f t="shared" si="7"/>
        <v>0</v>
      </c>
      <c r="J41" s="4">
        <f t="shared" si="7"/>
        <v>0</v>
      </c>
      <c r="K41" s="4">
        <f t="shared" si="7"/>
        <v>0</v>
      </c>
      <c r="L41" s="4">
        <f t="shared" si="7"/>
        <v>0</v>
      </c>
      <c r="M41" s="4">
        <f t="shared" si="7"/>
        <v>0</v>
      </c>
      <c r="N41" s="4">
        <f t="shared" si="7"/>
        <v>0</v>
      </c>
      <c r="O41" s="4">
        <f t="shared" si="7"/>
        <v>0</v>
      </c>
      <c r="P41" s="4">
        <f t="shared" si="7"/>
        <v>0</v>
      </c>
      <c r="Q41" s="4">
        <f t="shared" si="7"/>
        <v>0</v>
      </c>
      <c r="R41" s="4">
        <f t="shared" si="7"/>
        <v>0</v>
      </c>
      <c r="S41" s="4">
        <f t="shared" si="7"/>
        <v>0</v>
      </c>
      <c r="T41" s="4">
        <f t="shared" si="7"/>
        <v>0</v>
      </c>
    </row>
    <row r="42" spans="1:20" ht="12">
      <c r="A42" t="s">
        <v>9</v>
      </c>
      <c r="E42" s="4">
        <f aca="true" t="shared" si="8" ref="E42:T42">IF(E114=0,0,-$D$15)</f>
        <v>0</v>
      </c>
      <c r="F42" s="4">
        <f t="shared" si="8"/>
        <v>-5000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8"/>
        <v>0</v>
      </c>
      <c r="P42" s="4">
        <f t="shared" si="8"/>
        <v>0</v>
      </c>
      <c r="Q42" s="4">
        <f t="shared" si="8"/>
        <v>0</v>
      </c>
      <c r="R42" s="4">
        <f t="shared" si="8"/>
        <v>0</v>
      </c>
      <c r="S42" s="4">
        <f t="shared" si="8"/>
        <v>0</v>
      </c>
      <c r="T42" s="4">
        <f t="shared" si="8"/>
        <v>0</v>
      </c>
    </row>
    <row r="43" spans="1:20" ht="12">
      <c r="A43" t="s">
        <v>25</v>
      </c>
      <c r="E43" s="11">
        <f aca="true" t="shared" si="9" ref="E43:T43">-(E114*$D$16)*((1+$D$20)^(E27-$E$27))</f>
        <v>0</v>
      </c>
      <c r="F43" s="11">
        <f t="shared" si="9"/>
        <v>0</v>
      </c>
      <c r="G43" s="11">
        <f t="shared" si="9"/>
        <v>0</v>
      </c>
      <c r="H43" s="11">
        <f t="shared" si="9"/>
        <v>0</v>
      </c>
      <c r="I43" s="11">
        <f t="shared" si="9"/>
        <v>0</v>
      </c>
      <c r="J43" s="11">
        <f t="shared" si="9"/>
        <v>0</v>
      </c>
      <c r="K43" s="11">
        <f t="shared" si="9"/>
        <v>0</v>
      </c>
      <c r="L43" s="11">
        <f t="shared" si="9"/>
        <v>0</v>
      </c>
      <c r="M43" s="11">
        <f t="shared" si="9"/>
        <v>0</v>
      </c>
      <c r="N43" s="11">
        <f t="shared" si="9"/>
        <v>0</v>
      </c>
      <c r="O43" s="11">
        <f t="shared" si="9"/>
        <v>0</v>
      </c>
      <c r="P43" s="11">
        <f t="shared" si="9"/>
        <v>0</v>
      </c>
      <c r="Q43" s="11">
        <f t="shared" si="9"/>
        <v>0</v>
      </c>
      <c r="R43" s="11">
        <f t="shared" si="9"/>
        <v>0</v>
      </c>
      <c r="S43" s="11">
        <f t="shared" si="9"/>
        <v>0</v>
      </c>
      <c r="T43" s="11">
        <f t="shared" si="9"/>
        <v>0</v>
      </c>
    </row>
    <row r="44" spans="1:20" ht="12">
      <c r="A44" t="s">
        <v>26</v>
      </c>
      <c r="E44" s="4">
        <f>SUM(E41:E43)</f>
        <v>0</v>
      </c>
      <c r="F44" s="4">
        <f aca="true" t="shared" si="10" ref="F44:T44">SUM(F41:F43)</f>
        <v>-159345.5</v>
      </c>
      <c r="G44" s="4">
        <f t="shared" si="10"/>
        <v>0</v>
      </c>
      <c r="H44" s="4">
        <f t="shared" si="10"/>
        <v>0</v>
      </c>
      <c r="I44" s="4">
        <f t="shared" si="10"/>
        <v>0</v>
      </c>
      <c r="J44" s="4">
        <f t="shared" si="10"/>
        <v>0</v>
      </c>
      <c r="K44" s="4">
        <f t="shared" si="10"/>
        <v>0</v>
      </c>
      <c r="L44" s="4">
        <f t="shared" si="10"/>
        <v>0</v>
      </c>
      <c r="M44" s="4">
        <f t="shared" si="10"/>
        <v>0</v>
      </c>
      <c r="N44" s="4">
        <f t="shared" si="10"/>
        <v>0</v>
      </c>
      <c r="O44" s="4">
        <f t="shared" si="10"/>
        <v>0</v>
      </c>
      <c r="P44" s="4">
        <f t="shared" si="10"/>
        <v>0</v>
      </c>
      <c r="Q44" s="4">
        <f t="shared" si="10"/>
        <v>0</v>
      </c>
      <c r="R44" s="4">
        <f t="shared" si="10"/>
        <v>0</v>
      </c>
      <c r="S44" s="4">
        <f t="shared" si="10"/>
        <v>0</v>
      </c>
      <c r="T44" s="4">
        <f t="shared" si="10"/>
        <v>0</v>
      </c>
    </row>
    <row r="46" ht="12">
      <c r="A46" s="5" t="s">
        <v>28</v>
      </c>
    </row>
    <row r="47" spans="1:20" ht="12">
      <c r="A47" t="s">
        <v>7</v>
      </c>
      <c r="E47" s="4">
        <f>-D6</f>
        <v>-15014018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</row>
    <row r="48" spans="5:20" ht="12" hidden="1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5:20" ht="12" hidden="1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">
      <c r="A50" t="s">
        <v>104</v>
      </c>
      <c r="E50" s="4">
        <f>-D7</f>
        <v>-225210.27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</row>
    <row r="51" spans="1:20" ht="12">
      <c r="A51" s="12" t="s">
        <v>22</v>
      </c>
      <c r="E51" s="4">
        <f>E121</f>
        <v>0</v>
      </c>
      <c r="F51" s="4">
        <f aca="true" t="shared" si="11" ref="F51:T51">F121</f>
        <v>0</v>
      </c>
      <c r="G51" s="4">
        <f t="shared" si="11"/>
        <v>0</v>
      </c>
      <c r="H51" s="4">
        <f t="shared" si="11"/>
        <v>0</v>
      </c>
      <c r="I51" s="4">
        <f t="shared" si="11"/>
        <v>0</v>
      </c>
      <c r="J51" s="4">
        <f t="shared" si="11"/>
        <v>0</v>
      </c>
      <c r="K51" s="4">
        <f t="shared" si="11"/>
        <v>0</v>
      </c>
      <c r="L51" s="4">
        <f t="shared" si="11"/>
        <v>0</v>
      </c>
      <c r="M51" s="4">
        <f t="shared" si="11"/>
        <v>0</v>
      </c>
      <c r="N51" s="4">
        <f t="shared" si="11"/>
        <v>0</v>
      </c>
      <c r="O51" s="4">
        <f t="shared" si="11"/>
        <v>0</v>
      </c>
      <c r="P51" s="4">
        <f t="shared" si="11"/>
        <v>0</v>
      </c>
      <c r="Q51" s="4">
        <f t="shared" si="11"/>
        <v>0</v>
      </c>
      <c r="R51" s="4">
        <f t="shared" si="11"/>
        <v>0</v>
      </c>
      <c r="S51" s="4">
        <f t="shared" si="11"/>
        <v>0</v>
      </c>
      <c r="T51" s="4">
        <f t="shared" si="11"/>
        <v>0</v>
      </c>
    </row>
    <row r="52" spans="1:20" ht="12">
      <c r="A52" t="s">
        <v>59</v>
      </c>
      <c r="E52" s="4">
        <f aca="true" t="shared" si="12" ref="E52:T52">-IF(E26&lt;$I$12,0,IF(E26&gt;=$I$12+$I$13,0,$I$18*(1+$D$20)^(E27-$E$27)))</f>
        <v>0</v>
      </c>
      <c r="F52" s="4">
        <f t="shared" si="12"/>
        <v>0</v>
      </c>
      <c r="G52" s="4">
        <f t="shared" si="12"/>
        <v>0</v>
      </c>
      <c r="H52" s="4">
        <f t="shared" si="12"/>
        <v>0</v>
      </c>
      <c r="I52" s="4">
        <f t="shared" si="12"/>
        <v>0</v>
      </c>
      <c r="J52" s="4">
        <f t="shared" si="12"/>
        <v>0</v>
      </c>
      <c r="K52" s="4">
        <f t="shared" si="12"/>
        <v>0</v>
      </c>
      <c r="L52" s="4">
        <f t="shared" si="12"/>
        <v>0</v>
      </c>
      <c r="M52" s="4">
        <f t="shared" si="12"/>
        <v>0</v>
      </c>
      <c r="N52" s="4">
        <f t="shared" si="12"/>
        <v>0</v>
      </c>
      <c r="O52" s="4">
        <f t="shared" si="12"/>
        <v>0</v>
      </c>
      <c r="P52" s="4">
        <f t="shared" si="12"/>
        <v>0</v>
      </c>
      <c r="Q52" s="4">
        <f t="shared" si="12"/>
        <v>0</v>
      </c>
      <c r="R52" s="4">
        <f t="shared" si="12"/>
        <v>0</v>
      </c>
      <c r="S52" s="4">
        <f t="shared" si="12"/>
        <v>0</v>
      </c>
      <c r="T52" s="4">
        <f t="shared" si="12"/>
        <v>0</v>
      </c>
    </row>
    <row r="53" spans="1:20" ht="12">
      <c r="A53" t="s">
        <v>60</v>
      </c>
      <c r="E53" s="4">
        <f aca="true" t="shared" si="13" ref="E53:T53">-IF(E26&lt;$J$12,0,IF(E26&gt;=$J$12+$J$13,0,$J$18*(1+$D$20)^(E27-$E$27)))</f>
        <v>0</v>
      </c>
      <c r="F53" s="4">
        <f t="shared" si="13"/>
        <v>0</v>
      </c>
      <c r="G53" s="4">
        <f t="shared" si="13"/>
        <v>0</v>
      </c>
      <c r="H53" s="4">
        <f t="shared" si="13"/>
        <v>0</v>
      </c>
      <c r="I53" s="4">
        <f t="shared" si="13"/>
        <v>0</v>
      </c>
      <c r="J53" s="4">
        <f t="shared" si="13"/>
        <v>0</v>
      </c>
      <c r="K53" s="4">
        <f t="shared" si="13"/>
        <v>0</v>
      </c>
      <c r="L53" s="4">
        <f t="shared" si="13"/>
        <v>0</v>
      </c>
      <c r="M53" s="4">
        <f t="shared" si="13"/>
        <v>0</v>
      </c>
      <c r="N53" s="4">
        <f t="shared" si="13"/>
        <v>0</v>
      </c>
      <c r="O53" s="4">
        <f t="shared" si="13"/>
        <v>0</v>
      </c>
      <c r="P53" s="4">
        <f t="shared" si="13"/>
        <v>0</v>
      </c>
      <c r="Q53" s="4">
        <f t="shared" si="13"/>
        <v>0</v>
      </c>
      <c r="R53" s="4">
        <f t="shared" si="13"/>
        <v>0</v>
      </c>
      <c r="S53" s="4">
        <f t="shared" si="13"/>
        <v>0</v>
      </c>
      <c r="T53" s="4">
        <f t="shared" si="13"/>
        <v>0</v>
      </c>
    </row>
    <row r="54" spans="1:20" ht="12">
      <c r="A54" t="s">
        <v>61</v>
      </c>
      <c r="E54" s="4">
        <f aca="true" t="shared" si="14" ref="E54:T54">-IF(E26&lt;$K$12,0,IF(E26&gt;=$K$12+$K$13,0,$K$18*(1+$D$20)^(E27-$E$27)))</f>
        <v>0</v>
      </c>
      <c r="F54" s="4">
        <f t="shared" si="14"/>
        <v>0</v>
      </c>
      <c r="G54" s="4">
        <f t="shared" si="14"/>
        <v>0</v>
      </c>
      <c r="H54" s="4">
        <f t="shared" si="14"/>
        <v>0</v>
      </c>
      <c r="I54" s="4">
        <f t="shared" si="14"/>
        <v>0</v>
      </c>
      <c r="J54" s="4">
        <f t="shared" si="14"/>
        <v>0</v>
      </c>
      <c r="K54" s="4">
        <f t="shared" si="14"/>
        <v>0</v>
      </c>
      <c r="L54" s="4">
        <f t="shared" si="14"/>
        <v>0</v>
      </c>
      <c r="M54" s="4">
        <f t="shared" si="14"/>
        <v>0</v>
      </c>
      <c r="N54" s="4">
        <f t="shared" si="14"/>
        <v>0</v>
      </c>
      <c r="O54" s="4">
        <f t="shared" si="14"/>
        <v>0</v>
      </c>
      <c r="P54" s="4">
        <f t="shared" si="14"/>
        <v>0</v>
      </c>
      <c r="Q54" s="4">
        <f t="shared" si="14"/>
        <v>0</v>
      </c>
      <c r="R54" s="4">
        <f t="shared" si="14"/>
        <v>0</v>
      </c>
      <c r="S54" s="4">
        <f t="shared" si="14"/>
        <v>0</v>
      </c>
      <c r="T54" s="4">
        <f t="shared" si="14"/>
        <v>0</v>
      </c>
    </row>
    <row r="55" spans="1:20" ht="12">
      <c r="A55" t="s">
        <v>62</v>
      </c>
      <c r="E55" s="11">
        <f aca="true" t="shared" si="15" ref="E55:T55">-IF(E26&lt;$L$12,0,IF(E26&gt;=$L$12+$L$13,0,$L$18*(1+$D$20)^(E27-$E$27)))</f>
        <v>0</v>
      </c>
      <c r="F55" s="11">
        <f t="shared" si="15"/>
        <v>0</v>
      </c>
      <c r="G55" s="11">
        <f t="shared" si="15"/>
        <v>0</v>
      </c>
      <c r="H55" s="11">
        <f t="shared" si="15"/>
        <v>0</v>
      </c>
      <c r="I55" s="11">
        <f t="shared" si="15"/>
        <v>0</v>
      </c>
      <c r="J55" s="11">
        <f t="shared" si="15"/>
        <v>0</v>
      </c>
      <c r="K55" s="11">
        <f t="shared" si="15"/>
        <v>0</v>
      </c>
      <c r="L55" s="11">
        <f t="shared" si="15"/>
        <v>0</v>
      </c>
      <c r="M55" s="11">
        <f t="shared" si="15"/>
        <v>0</v>
      </c>
      <c r="N55" s="11">
        <f t="shared" si="15"/>
        <v>0</v>
      </c>
      <c r="O55" s="11">
        <f t="shared" si="15"/>
        <v>0</v>
      </c>
      <c r="P55" s="11">
        <f t="shared" si="15"/>
        <v>0</v>
      </c>
      <c r="Q55" s="11">
        <f t="shared" si="15"/>
        <v>0</v>
      </c>
      <c r="R55" s="11">
        <f t="shared" si="15"/>
        <v>0</v>
      </c>
      <c r="S55" s="11">
        <f t="shared" si="15"/>
        <v>0</v>
      </c>
      <c r="T55" s="11">
        <f t="shared" si="15"/>
        <v>0</v>
      </c>
    </row>
    <row r="56" spans="1:20" ht="12">
      <c r="A56" t="s">
        <v>29</v>
      </c>
      <c r="E56" s="4">
        <f>SUM(E47:E55)</f>
        <v>-15239228.27</v>
      </c>
      <c r="F56" s="4">
        <f>SUM(F47:F55)</f>
        <v>0</v>
      </c>
      <c r="G56" s="4">
        <f>SUM(G47:G55)</f>
        <v>0</v>
      </c>
      <c r="H56" s="4">
        <f>SUM(H47:H55)</f>
        <v>0</v>
      </c>
      <c r="I56" s="4">
        <f aca="true" t="shared" si="16" ref="I56:R56">SUM(I47:I55)</f>
        <v>0</v>
      </c>
      <c r="J56" s="4">
        <f t="shared" si="16"/>
        <v>0</v>
      </c>
      <c r="K56" s="4">
        <f t="shared" si="16"/>
        <v>0</v>
      </c>
      <c r="L56" s="4">
        <f t="shared" si="16"/>
        <v>0</v>
      </c>
      <c r="M56" s="4">
        <f t="shared" si="16"/>
        <v>0</v>
      </c>
      <c r="N56" s="4">
        <f t="shared" si="16"/>
        <v>0</v>
      </c>
      <c r="O56" s="4">
        <f t="shared" si="16"/>
        <v>0</v>
      </c>
      <c r="P56" s="4">
        <f t="shared" si="16"/>
        <v>0</v>
      </c>
      <c r="Q56" s="4">
        <f t="shared" si="16"/>
        <v>0</v>
      </c>
      <c r="R56" s="4">
        <f t="shared" si="16"/>
        <v>0</v>
      </c>
      <c r="S56" s="4">
        <f>SUM(S47:S55)</f>
        <v>0</v>
      </c>
      <c r="T56" s="4">
        <f>SUM(T47:T55)</f>
        <v>0</v>
      </c>
    </row>
    <row r="58" ht="12">
      <c r="A58" s="5" t="s">
        <v>31</v>
      </c>
    </row>
    <row r="59" spans="1:20" ht="12">
      <c r="A59" t="s">
        <v>27</v>
      </c>
      <c r="E59" s="4">
        <f>E38</f>
        <v>0</v>
      </c>
      <c r="F59" s="4">
        <f aca="true" t="shared" si="17" ref="F59:T59">F38</f>
        <v>17730420</v>
      </c>
      <c r="G59" s="4">
        <f t="shared" si="17"/>
        <v>0</v>
      </c>
      <c r="H59" s="4">
        <f t="shared" si="17"/>
        <v>0</v>
      </c>
      <c r="I59" s="4">
        <f t="shared" si="17"/>
        <v>0</v>
      </c>
      <c r="J59" s="4">
        <f t="shared" si="17"/>
        <v>0</v>
      </c>
      <c r="K59" s="4">
        <f t="shared" si="17"/>
        <v>0</v>
      </c>
      <c r="L59" s="4">
        <f t="shared" si="17"/>
        <v>0</v>
      </c>
      <c r="M59" s="4">
        <f t="shared" si="17"/>
        <v>0</v>
      </c>
      <c r="N59" s="4">
        <f t="shared" si="17"/>
        <v>0</v>
      </c>
      <c r="O59" s="4">
        <f t="shared" si="17"/>
        <v>0</v>
      </c>
      <c r="P59" s="4">
        <f t="shared" si="17"/>
        <v>0</v>
      </c>
      <c r="Q59" s="4">
        <f t="shared" si="17"/>
        <v>0</v>
      </c>
      <c r="R59" s="4">
        <f t="shared" si="17"/>
        <v>0</v>
      </c>
      <c r="S59" s="4">
        <f t="shared" si="17"/>
        <v>0</v>
      </c>
      <c r="T59" s="4">
        <f t="shared" si="17"/>
        <v>0</v>
      </c>
    </row>
    <row r="60" spans="1:20" ht="12">
      <c r="A60" t="s">
        <v>26</v>
      </c>
      <c r="E60" s="4">
        <f>E44</f>
        <v>0</v>
      </c>
      <c r="F60" s="4">
        <f aca="true" t="shared" si="18" ref="F60:T60">F44</f>
        <v>-159345.5</v>
      </c>
      <c r="G60" s="4">
        <f t="shared" si="18"/>
        <v>0</v>
      </c>
      <c r="H60" s="4">
        <f t="shared" si="18"/>
        <v>0</v>
      </c>
      <c r="I60" s="4">
        <f t="shared" si="18"/>
        <v>0</v>
      </c>
      <c r="J60" s="4">
        <f t="shared" si="18"/>
        <v>0</v>
      </c>
      <c r="K60" s="4">
        <f t="shared" si="18"/>
        <v>0</v>
      </c>
      <c r="L60" s="4">
        <f t="shared" si="18"/>
        <v>0</v>
      </c>
      <c r="M60" s="4">
        <f t="shared" si="18"/>
        <v>0</v>
      </c>
      <c r="N60" s="4">
        <f t="shared" si="18"/>
        <v>0</v>
      </c>
      <c r="O60" s="4">
        <f t="shared" si="18"/>
        <v>0</v>
      </c>
      <c r="P60" s="4">
        <f t="shared" si="18"/>
        <v>0</v>
      </c>
      <c r="Q60" s="4">
        <f t="shared" si="18"/>
        <v>0</v>
      </c>
      <c r="R60" s="4">
        <f t="shared" si="18"/>
        <v>0</v>
      </c>
      <c r="S60" s="4">
        <f t="shared" si="18"/>
        <v>0</v>
      </c>
      <c r="T60" s="4">
        <f t="shared" si="18"/>
        <v>0</v>
      </c>
    </row>
    <row r="61" spans="1:20" ht="12">
      <c r="A61" t="s">
        <v>29</v>
      </c>
      <c r="E61" s="11">
        <f>E56</f>
        <v>-15239228.27</v>
      </c>
      <c r="F61" s="11">
        <f aca="true" t="shared" si="19" ref="F61:T61">F56</f>
        <v>0</v>
      </c>
      <c r="G61" s="11">
        <f t="shared" si="19"/>
        <v>0</v>
      </c>
      <c r="H61" s="11">
        <f t="shared" si="19"/>
        <v>0</v>
      </c>
      <c r="I61" s="11">
        <f t="shared" si="19"/>
        <v>0</v>
      </c>
      <c r="J61" s="11">
        <f t="shared" si="19"/>
        <v>0</v>
      </c>
      <c r="K61" s="11">
        <f t="shared" si="19"/>
        <v>0</v>
      </c>
      <c r="L61" s="11">
        <f t="shared" si="19"/>
        <v>0</v>
      </c>
      <c r="M61" s="11">
        <f t="shared" si="19"/>
        <v>0</v>
      </c>
      <c r="N61" s="11">
        <f t="shared" si="19"/>
        <v>0</v>
      </c>
      <c r="O61" s="11">
        <f t="shared" si="19"/>
        <v>0</v>
      </c>
      <c r="P61" s="11">
        <f t="shared" si="19"/>
        <v>0</v>
      </c>
      <c r="Q61" s="11">
        <f t="shared" si="19"/>
        <v>0</v>
      </c>
      <c r="R61" s="11">
        <f t="shared" si="19"/>
        <v>0</v>
      </c>
      <c r="S61" s="11">
        <f t="shared" si="19"/>
        <v>0</v>
      </c>
      <c r="T61" s="11">
        <f t="shared" si="19"/>
        <v>0</v>
      </c>
    </row>
    <row r="62" spans="1:20" ht="12">
      <c r="A62" t="s">
        <v>30</v>
      </c>
      <c r="E62" s="4">
        <f>SUM(E59:E61)</f>
        <v>-15239228.27</v>
      </c>
      <c r="F62" s="4">
        <f>SUM(F59:F61)</f>
        <v>17571074.5</v>
      </c>
      <c r="G62" s="4">
        <f aca="true" t="shared" si="20" ref="G62:T62">SUM(G59:G61)</f>
        <v>0</v>
      </c>
      <c r="H62" s="4">
        <f t="shared" si="20"/>
        <v>0</v>
      </c>
      <c r="I62" s="4">
        <f t="shared" si="20"/>
        <v>0</v>
      </c>
      <c r="J62" s="4">
        <f t="shared" si="20"/>
        <v>0</v>
      </c>
      <c r="K62" s="4">
        <f t="shared" si="20"/>
        <v>0</v>
      </c>
      <c r="L62" s="4">
        <f t="shared" si="20"/>
        <v>0</v>
      </c>
      <c r="M62" s="4">
        <f t="shared" si="20"/>
        <v>0</v>
      </c>
      <c r="N62" s="4">
        <f t="shared" si="20"/>
        <v>0</v>
      </c>
      <c r="O62" s="4">
        <f t="shared" si="20"/>
        <v>0</v>
      </c>
      <c r="P62" s="4">
        <f t="shared" si="20"/>
        <v>0</v>
      </c>
      <c r="Q62" s="4">
        <f t="shared" si="20"/>
        <v>0</v>
      </c>
      <c r="R62" s="4">
        <f t="shared" si="20"/>
        <v>0</v>
      </c>
      <c r="S62" s="4">
        <f t="shared" si="20"/>
        <v>0</v>
      </c>
      <c r="T62" s="4">
        <f t="shared" si="20"/>
        <v>0</v>
      </c>
    </row>
    <row r="64" spans="1:5" ht="12">
      <c r="A64" t="s">
        <v>32</v>
      </c>
      <c r="E64" s="13">
        <f>IRR(E62:T62,5%)</f>
        <v>0.1530160313032702</v>
      </c>
    </row>
    <row r="65" ht="12">
      <c r="E65" s="13"/>
    </row>
    <row r="66" spans="1:5" ht="12">
      <c r="A66" t="s">
        <v>33</v>
      </c>
      <c r="D66" s="14">
        <v>0.1</v>
      </c>
      <c r="E66" s="15">
        <f>NPV(D66,$F$86:$T$86)+$E$86</f>
        <v>15973704.09090909</v>
      </c>
    </row>
    <row r="67" spans="1:5" ht="12">
      <c r="A67" t="s">
        <v>33</v>
      </c>
      <c r="D67" s="14">
        <v>0.15</v>
      </c>
      <c r="E67" s="15">
        <f>NPV(D67,$F$86:$T$86)+$E$86</f>
        <v>15279195.217391305</v>
      </c>
    </row>
    <row r="68" spans="1:5" ht="12">
      <c r="A68" t="s">
        <v>33</v>
      </c>
      <c r="D68" s="14">
        <v>0.2</v>
      </c>
      <c r="E68" s="15">
        <f>NPV(D68,$F$86:$T$86)+$E$86</f>
        <v>14642562.083333334</v>
      </c>
    </row>
    <row r="77" spans="1:20" ht="12">
      <c r="A77" s="8" t="s">
        <v>14</v>
      </c>
      <c r="B77" s="8"/>
      <c r="C77" s="8"/>
      <c r="D77" s="8"/>
      <c r="E77" s="8">
        <v>2000</v>
      </c>
      <c r="F77" s="9">
        <v>2001</v>
      </c>
      <c r="G77" s="9">
        <v>2002</v>
      </c>
      <c r="H77" s="9">
        <v>2003</v>
      </c>
      <c r="I77" s="9">
        <v>2004</v>
      </c>
      <c r="J77" s="9">
        <v>2005</v>
      </c>
      <c r="K77" s="9">
        <v>2006</v>
      </c>
      <c r="L77" s="9">
        <v>2007</v>
      </c>
      <c r="M77" s="9">
        <v>2008</v>
      </c>
      <c r="N77" s="9">
        <v>2009</v>
      </c>
      <c r="O77" s="9">
        <v>2010</v>
      </c>
      <c r="P77" s="9">
        <v>2011</v>
      </c>
      <c r="Q77" s="9">
        <v>2012</v>
      </c>
      <c r="R77" s="9">
        <v>2013</v>
      </c>
      <c r="S77" s="9">
        <v>2014</v>
      </c>
      <c r="T77" s="9">
        <v>2015</v>
      </c>
    </row>
    <row r="78" spans="1:20" ht="12">
      <c r="A78" t="s">
        <v>15</v>
      </c>
      <c r="E78">
        <v>0</v>
      </c>
      <c r="F78" s="7">
        <v>1</v>
      </c>
      <c r="G78" s="7">
        <v>2</v>
      </c>
      <c r="H78" s="7">
        <v>3</v>
      </c>
      <c r="I78" s="7">
        <v>4</v>
      </c>
      <c r="J78" s="7">
        <v>5</v>
      </c>
      <c r="K78" s="7">
        <v>6</v>
      </c>
      <c r="L78" s="7">
        <v>7</v>
      </c>
      <c r="M78" s="7">
        <v>8</v>
      </c>
      <c r="N78" s="7">
        <v>9</v>
      </c>
      <c r="O78" s="7">
        <v>10</v>
      </c>
      <c r="P78" s="7">
        <v>11</v>
      </c>
      <c r="Q78" s="7">
        <v>12</v>
      </c>
      <c r="R78" s="7">
        <v>13</v>
      </c>
      <c r="S78" s="7">
        <v>14</v>
      </c>
      <c r="T78" s="7">
        <v>15</v>
      </c>
    </row>
    <row r="80" ht="12">
      <c r="A80" s="5" t="s">
        <v>34</v>
      </c>
    </row>
    <row r="81" spans="1:20" ht="12">
      <c r="A81" t="s">
        <v>7</v>
      </c>
      <c r="E81" s="4">
        <f aca="true" t="shared" si="21" ref="E81:T81">-E47</f>
        <v>15014018</v>
      </c>
      <c r="F81" s="4">
        <f t="shared" si="21"/>
        <v>0</v>
      </c>
      <c r="G81" s="4">
        <f t="shared" si="21"/>
        <v>0</v>
      </c>
      <c r="H81" s="4">
        <f t="shared" si="21"/>
        <v>0</v>
      </c>
      <c r="I81" s="4">
        <f t="shared" si="21"/>
        <v>0</v>
      </c>
      <c r="J81" s="4">
        <f t="shared" si="21"/>
        <v>0</v>
      </c>
      <c r="K81" s="4">
        <f t="shared" si="21"/>
        <v>0</v>
      </c>
      <c r="L81" s="4">
        <f t="shared" si="21"/>
        <v>0</v>
      </c>
      <c r="M81" s="4">
        <f t="shared" si="21"/>
        <v>0</v>
      </c>
      <c r="N81" s="4">
        <f t="shared" si="21"/>
        <v>0</v>
      </c>
      <c r="O81" s="4">
        <f t="shared" si="21"/>
        <v>0</v>
      </c>
      <c r="P81" s="4">
        <f t="shared" si="21"/>
        <v>0</v>
      </c>
      <c r="Q81" s="4">
        <f t="shared" si="21"/>
        <v>0</v>
      </c>
      <c r="R81" s="4">
        <f t="shared" si="21"/>
        <v>0</v>
      </c>
      <c r="S81" s="4">
        <f t="shared" si="21"/>
        <v>0</v>
      </c>
      <c r="T81" s="4">
        <f t="shared" si="21"/>
        <v>0</v>
      </c>
    </row>
    <row r="82" spans="5:20" ht="12" hidden="1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5:20" ht="12" hidden="1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">
      <c r="A84" t="s">
        <v>104</v>
      </c>
      <c r="E84" s="4">
        <f aca="true" t="shared" si="22" ref="E84:T84">-E50</f>
        <v>225210.27</v>
      </c>
      <c r="F84" s="4">
        <f t="shared" si="22"/>
        <v>0</v>
      </c>
      <c r="G84" s="4">
        <f t="shared" si="22"/>
        <v>0</v>
      </c>
      <c r="H84" s="4">
        <f t="shared" si="22"/>
        <v>0</v>
      </c>
      <c r="I84" s="4">
        <f t="shared" si="22"/>
        <v>0</v>
      </c>
      <c r="J84" s="4">
        <f t="shared" si="22"/>
        <v>0</v>
      </c>
      <c r="K84" s="4">
        <f t="shared" si="22"/>
        <v>0</v>
      </c>
      <c r="L84" s="4">
        <f t="shared" si="22"/>
        <v>0</v>
      </c>
      <c r="M84" s="4">
        <f t="shared" si="22"/>
        <v>0</v>
      </c>
      <c r="N84" s="4">
        <f t="shared" si="22"/>
        <v>0</v>
      </c>
      <c r="O84" s="4">
        <f t="shared" si="22"/>
        <v>0</v>
      </c>
      <c r="P84" s="4">
        <f t="shared" si="22"/>
        <v>0</v>
      </c>
      <c r="Q84" s="4">
        <f t="shared" si="22"/>
        <v>0</v>
      </c>
      <c r="R84" s="4">
        <f t="shared" si="22"/>
        <v>0</v>
      </c>
      <c r="S84" s="4">
        <f t="shared" si="22"/>
        <v>0</v>
      </c>
      <c r="T84" s="4">
        <f t="shared" si="22"/>
        <v>0</v>
      </c>
    </row>
    <row r="85" spans="1:20" ht="12">
      <c r="A85" t="s">
        <v>30</v>
      </c>
      <c r="E85" s="11">
        <f aca="true" t="shared" si="23" ref="E85:T85">E62</f>
        <v>-15239228.27</v>
      </c>
      <c r="F85" s="11">
        <f t="shared" si="23"/>
        <v>17571074.5</v>
      </c>
      <c r="G85" s="11">
        <f t="shared" si="23"/>
        <v>0</v>
      </c>
      <c r="H85" s="11">
        <f t="shared" si="23"/>
        <v>0</v>
      </c>
      <c r="I85" s="11">
        <f t="shared" si="23"/>
        <v>0</v>
      </c>
      <c r="J85" s="11">
        <f t="shared" si="23"/>
        <v>0</v>
      </c>
      <c r="K85" s="11">
        <f t="shared" si="23"/>
        <v>0</v>
      </c>
      <c r="L85" s="11">
        <f t="shared" si="23"/>
        <v>0</v>
      </c>
      <c r="M85" s="11">
        <f t="shared" si="23"/>
        <v>0</v>
      </c>
      <c r="N85" s="11">
        <f t="shared" si="23"/>
        <v>0</v>
      </c>
      <c r="O85" s="11">
        <f t="shared" si="23"/>
        <v>0</v>
      </c>
      <c r="P85" s="11">
        <f t="shared" si="23"/>
        <v>0</v>
      </c>
      <c r="Q85" s="11">
        <f t="shared" si="23"/>
        <v>0</v>
      </c>
      <c r="R85" s="11">
        <f t="shared" si="23"/>
        <v>0</v>
      </c>
      <c r="S85" s="11">
        <f t="shared" si="23"/>
        <v>0</v>
      </c>
      <c r="T85" s="11">
        <f t="shared" si="23"/>
        <v>0</v>
      </c>
    </row>
    <row r="86" spans="1:20" ht="12">
      <c r="A86" t="s">
        <v>35</v>
      </c>
      <c r="E86" s="4">
        <f>SUM(E81:E85)</f>
        <v>0</v>
      </c>
      <c r="F86" s="4">
        <f>SUM(F81:F85)</f>
        <v>17571074.5</v>
      </c>
      <c r="G86" s="4">
        <f>SUM(G81:G85)</f>
        <v>0</v>
      </c>
      <c r="H86" s="4">
        <f>SUM(H81:H85)</f>
        <v>0</v>
      </c>
      <c r="I86" s="4">
        <f aca="true" t="shared" si="24" ref="I86:S86">SUM(I81:I85)</f>
        <v>0</v>
      </c>
      <c r="J86" s="4">
        <f t="shared" si="24"/>
        <v>0</v>
      </c>
      <c r="K86" s="4">
        <f t="shared" si="24"/>
        <v>0</v>
      </c>
      <c r="L86" s="4">
        <f t="shared" si="24"/>
        <v>0</v>
      </c>
      <c r="M86" s="4">
        <f t="shared" si="24"/>
        <v>0</v>
      </c>
      <c r="N86" s="4">
        <f t="shared" si="24"/>
        <v>0</v>
      </c>
      <c r="O86" s="4">
        <f t="shared" si="24"/>
        <v>0</v>
      </c>
      <c r="P86" s="4">
        <f t="shared" si="24"/>
        <v>0</v>
      </c>
      <c r="Q86" s="4">
        <f t="shared" si="24"/>
        <v>0</v>
      </c>
      <c r="R86" s="4">
        <f t="shared" si="24"/>
        <v>0</v>
      </c>
      <c r="S86" s="4">
        <f t="shared" si="24"/>
        <v>0</v>
      </c>
      <c r="T86" s="4">
        <f>SUM(T81:T85)</f>
        <v>0</v>
      </c>
    </row>
    <row r="88" spans="5:7" ht="12">
      <c r="E88" s="4"/>
      <c r="F88" s="4"/>
      <c r="G88" s="4"/>
    </row>
    <row r="89" ht="12">
      <c r="A89" s="5" t="s">
        <v>47</v>
      </c>
    </row>
    <row r="90" spans="1:20" ht="12">
      <c r="A90" t="s">
        <v>48</v>
      </c>
      <c r="E90" s="4">
        <v>0</v>
      </c>
      <c r="F90" s="4">
        <f>E93</f>
        <v>0</v>
      </c>
      <c r="G90" s="4">
        <f aca="true" t="shared" si="25" ref="G90:T90">F93</f>
        <v>0</v>
      </c>
      <c r="H90" s="4">
        <f t="shared" si="25"/>
        <v>0</v>
      </c>
      <c r="I90" s="4">
        <f t="shared" si="25"/>
        <v>0</v>
      </c>
      <c r="J90" s="4">
        <f t="shared" si="25"/>
        <v>0</v>
      </c>
      <c r="K90" s="4">
        <f t="shared" si="25"/>
        <v>0</v>
      </c>
      <c r="L90" s="4">
        <f t="shared" si="25"/>
        <v>0</v>
      </c>
      <c r="M90" s="4">
        <f t="shared" si="25"/>
        <v>0</v>
      </c>
      <c r="N90" s="4">
        <f t="shared" si="25"/>
        <v>0</v>
      </c>
      <c r="O90" s="4">
        <f t="shared" si="25"/>
        <v>0</v>
      </c>
      <c r="P90" s="4">
        <f t="shared" si="25"/>
        <v>0</v>
      </c>
      <c r="Q90" s="4">
        <f t="shared" si="25"/>
        <v>0</v>
      </c>
      <c r="R90" s="4">
        <f t="shared" si="25"/>
        <v>0</v>
      </c>
      <c r="S90" s="4">
        <f t="shared" si="25"/>
        <v>0</v>
      </c>
      <c r="T90" s="4">
        <f t="shared" si="25"/>
        <v>0</v>
      </c>
    </row>
    <row r="91" spans="1:20" ht="12">
      <c r="A91" t="s">
        <v>49</v>
      </c>
      <c r="E91" s="4">
        <f aca="true" t="shared" si="26" ref="E91:T91">IF(E26&lt;$I$12,0,IF(E26&gt;=$I$12+$I$13,0,-$I$14))</f>
        <v>0</v>
      </c>
      <c r="F91" s="4">
        <f t="shared" si="26"/>
        <v>0</v>
      </c>
      <c r="G91" s="4">
        <f t="shared" si="26"/>
        <v>0</v>
      </c>
      <c r="H91" s="4">
        <f t="shared" si="26"/>
        <v>0</v>
      </c>
      <c r="I91" s="4">
        <f t="shared" si="26"/>
        <v>0</v>
      </c>
      <c r="J91" s="4">
        <f t="shared" si="26"/>
        <v>0</v>
      </c>
      <c r="K91" s="4">
        <f t="shared" si="26"/>
        <v>0</v>
      </c>
      <c r="L91" s="4">
        <f t="shared" si="26"/>
        <v>0</v>
      </c>
      <c r="M91" s="4">
        <f t="shared" si="26"/>
        <v>0</v>
      </c>
      <c r="N91" s="4">
        <f t="shared" si="26"/>
        <v>0</v>
      </c>
      <c r="O91" s="4">
        <f t="shared" si="26"/>
        <v>0</v>
      </c>
      <c r="P91" s="4">
        <f t="shared" si="26"/>
        <v>0</v>
      </c>
      <c r="Q91" s="4">
        <f t="shared" si="26"/>
        <v>0</v>
      </c>
      <c r="R91" s="4">
        <f t="shared" si="26"/>
        <v>0</v>
      </c>
      <c r="S91" s="4">
        <f t="shared" si="26"/>
        <v>0</v>
      </c>
      <c r="T91" s="4">
        <f t="shared" si="26"/>
        <v>0</v>
      </c>
    </row>
    <row r="92" spans="1:20" ht="12">
      <c r="A92" t="s">
        <v>51</v>
      </c>
      <c r="E92" s="11">
        <f>I7</f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</row>
    <row r="93" spans="1:20" ht="12">
      <c r="A93" t="s">
        <v>50</v>
      </c>
      <c r="E93" s="4">
        <f>SUM(E90:E92)</f>
        <v>0</v>
      </c>
      <c r="F93" s="4">
        <f>SUM(F90:F92)</f>
        <v>0</v>
      </c>
      <c r="G93" s="4">
        <f aca="true" t="shared" si="27" ref="G93:T93">SUM(G90:G92)</f>
        <v>0</v>
      </c>
      <c r="H93" s="4">
        <f t="shared" si="27"/>
        <v>0</v>
      </c>
      <c r="I93" s="4">
        <f t="shared" si="27"/>
        <v>0</v>
      </c>
      <c r="J93" s="4">
        <f t="shared" si="27"/>
        <v>0</v>
      </c>
      <c r="K93" s="4">
        <f t="shared" si="27"/>
        <v>0</v>
      </c>
      <c r="L93" s="4">
        <f t="shared" si="27"/>
        <v>0</v>
      </c>
      <c r="M93" s="4">
        <f t="shared" si="27"/>
        <v>0</v>
      </c>
      <c r="N93" s="4">
        <f t="shared" si="27"/>
        <v>0</v>
      </c>
      <c r="O93" s="4">
        <f t="shared" si="27"/>
        <v>0</v>
      </c>
      <c r="P93" s="4">
        <f t="shared" si="27"/>
        <v>0</v>
      </c>
      <c r="Q93" s="4">
        <f t="shared" si="27"/>
        <v>0</v>
      </c>
      <c r="R93" s="4">
        <f t="shared" si="27"/>
        <v>0</v>
      </c>
      <c r="S93" s="4">
        <f t="shared" si="27"/>
        <v>0</v>
      </c>
      <c r="T93" s="4">
        <f t="shared" si="27"/>
        <v>0</v>
      </c>
    </row>
    <row r="95" ht="12">
      <c r="A95" s="5" t="s">
        <v>52</v>
      </c>
    </row>
    <row r="96" spans="1:20" ht="12">
      <c r="A96" t="s">
        <v>48</v>
      </c>
      <c r="E96" s="4">
        <v>0</v>
      </c>
      <c r="F96" s="4">
        <f>E99</f>
        <v>0</v>
      </c>
      <c r="G96" s="4">
        <f aca="true" t="shared" si="28" ref="G96:T96">F99</f>
        <v>0</v>
      </c>
      <c r="H96" s="4">
        <f t="shared" si="28"/>
        <v>0</v>
      </c>
      <c r="I96" s="4">
        <f t="shared" si="28"/>
        <v>0</v>
      </c>
      <c r="J96" s="4">
        <f t="shared" si="28"/>
        <v>0</v>
      </c>
      <c r="K96" s="4">
        <f t="shared" si="28"/>
        <v>0</v>
      </c>
      <c r="L96" s="4">
        <f t="shared" si="28"/>
        <v>0</v>
      </c>
      <c r="M96" s="4">
        <f t="shared" si="28"/>
        <v>0</v>
      </c>
      <c r="N96" s="4">
        <f t="shared" si="28"/>
        <v>0</v>
      </c>
      <c r="O96" s="4">
        <f t="shared" si="28"/>
        <v>0</v>
      </c>
      <c r="P96" s="4">
        <f t="shared" si="28"/>
        <v>0</v>
      </c>
      <c r="Q96" s="4">
        <f t="shared" si="28"/>
        <v>0</v>
      </c>
      <c r="R96" s="4">
        <f t="shared" si="28"/>
        <v>0</v>
      </c>
      <c r="S96" s="4">
        <f t="shared" si="28"/>
        <v>0</v>
      </c>
      <c r="T96" s="4">
        <f t="shared" si="28"/>
        <v>0</v>
      </c>
    </row>
    <row r="97" spans="1:20" ht="12">
      <c r="A97" t="s">
        <v>49</v>
      </c>
      <c r="E97" s="4">
        <f aca="true" t="shared" si="29" ref="E97:T97">IF(E26&lt;$J$12,0,IF(E26&gt;=$J$12+$J$13,0,-$J$14))</f>
        <v>0</v>
      </c>
      <c r="F97" s="4">
        <f t="shared" si="29"/>
        <v>0</v>
      </c>
      <c r="G97" s="4">
        <f t="shared" si="29"/>
        <v>0</v>
      </c>
      <c r="H97" s="4">
        <f t="shared" si="29"/>
        <v>0</v>
      </c>
      <c r="I97" s="4">
        <f t="shared" si="29"/>
        <v>0</v>
      </c>
      <c r="J97" s="4">
        <f t="shared" si="29"/>
        <v>0</v>
      </c>
      <c r="K97" s="4">
        <f t="shared" si="29"/>
        <v>0</v>
      </c>
      <c r="L97" s="4">
        <f t="shared" si="29"/>
        <v>0</v>
      </c>
      <c r="M97" s="4">
        <f t="shared" si="29"/>
        <v>0</v>
      </c>
      <c r="N97" s="4">
        <f t="shared" si="29"/>
        <v>0</v>
      </c>
      <c r="O97" s="4">
        <f t="shared" si="29"/>
        <v>0</v>
      </c>
      <c r="P97" s="4">
        <f t="shared" si="29"/>
        <v>0</v>
      </c>
      <c r="Q97" s="4">
        <f t="shared" si="29"/>
        <v>0</v>
      </c>
      <c r="R97" s="4">
        <f t="shared" si="29"/>
        <v>0</v>
      </c>
      <c r="S97" s="4">
        <f t="shared" si="29"/>
        <v>0</v>
      </c>
      <c r="T97" s="4">
        <f t="shared" si="29"/>
        <v>0</v>
      </c>
    </row>
    <row r="98" spans="1:20" ht="12">
      <c r="A98" t="s">
        <v>51</v>
      </c>
      <c r="E98" s="11">
        <f>J7</f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</row>
    <row r="99" spans="1:20" ht="12">
      <c r="A99" t="s">
        <v>50</v>
      </c>
      <c r="E99" s="4">
        <f>SUM(E96:E98)</f>
        <v>0</v>
      </c>
      <c r="F99" s="4">
        <f>SUM(F96:F98)</f>
        <v>0</v>
      </c>
      <c r="G99" s="4">
        <f aca="true" t="shared" si="30" ref="G99:T99">SUM(G96:G98)</f>
        <v>0</v>
      </c>
      <c r="H99" s="4">
        <f t="shared" si="30"/>
        <v>0</v>
      </c>
      <c r="I99" s="4">
        <f t="shared" si="30"/>
        <v>0</v>
      </c>
      <c r="J99" s="4">
        <f t="shared" si="30"/>
        <v>0</v>
      </c>
      <c r="K99" s="4">
        <f t="shared" si="30"/>
        <v>0</v>
      </c>
      <c r="L99" s="4">
        <f t="shared" si="30"/>
        <v>0</v>
      </c>
      <c r="M99" s="4">
        <f t="shared" si="30"/>
        <v>0</v>
      </c>
      <c r="N99" s="4">
        <f t="shared" si="30"/>
        <v>0</v>
      </c>
      <c r="O99" s="4">
        <f t="shared" si="30"/>
        <v>0</v>
      </c>
      <c r="P99" s="4">
        <f t="shared" si="30"/>
        <v>0</v>
      </c>
      <c r="Q99" s="4">
        <f t="shared" si="30"/>
        <v>0</v>
      </c>
      <c r="R99" s="4">
        <f t="shared" si="30"/>
        <v>0</v>
      </c>
      <c r="S99" s="4">
        <f t="shared" si="30"/>
        <v>0</v>
      </c>
      <c r="T99" s="4">
        <f t="shared" si="30"/>
        <v>0</v>
      </c>
    </row>
    <row r="101" ht="12">
      <c r="A101" s="5" t="s">
        <v>53</v>
      </c>
    </row>
    <row r="102" spans="1:20" ht="12">
      <c r="A102" t="s">
        <v>48</v>
      </c>
      <c r="E102" s="4">
        <v>0</v>
      </c>
      <c r="F102" s="4">
        <f>E105</f>
        <v>487800</v>
      </c>
      <c r="G102" s="4">
        <f aca="true" t="shared" si="31" ref="G102:T102">F105</f>
        <v>0</v>
      </c>
      <c r="H102" s="4">
        <f t="shared" si="31"/>
        <v>0</v>
      </c>
      <c r="I102" s="4">
        <f t="shared" si="31"/>
        <v>0</v>
      </c>
      <c r="J102" s="4">
        <f t="shared" si="31"/>
        <v>0</v>
      </c>
      <c r="K102" s="4">
        <f t="shared" si="31"/>
        <v>0</v>
      </c>
      <c r="L102" s="4">
        <f t="shared" si="31"/>
        <v>0</v>
      </c>
      <c r="M102" s="4">
        <f t="shared" si="31"/>
        <v>0</v>
      </c>
      <c r="N102" s="4">
        <f t="shared" si="31"/>
        <v>0</v>
      </c>
      <c r="O102" s="4">
        <f t="shared" si="31"/>
        <v>0</v>
      </c>
      <c r="P102" s="4">
        <f t="shared" si="31"/>
        <v>0</v>
      </c>
      <c r="Q102" s="4">
        <f t="shared" si="31"/>
        <v>0</v>
      </c>
      <c r="R102" s="4">
        <f t="shared" si="31"/>
        <v>0</v>
      </c>
      <c r="S102" s="4">
        <f t="shared" si="31"/>
        <v>0</v>
      </c>
      <c r="T102" s="4">
        <f t="shared" si="31"/>
        <v>0</v>
      </c>
    </row>
    <row r="103" spans="1:20" ht="12">
      <c r="A103" t="s">
        <v>49</v>
      </c>
      <c r="E103" s="4">
        <f aca="true" t="shared" si="32" ref="E103:T103">IF(E26&lt;$K$12,0,IF(E26&gt;=$K$12+$K$13,0,-$K$14))</f>
        <v>0</v>
      </c>
      <c r="F103" s="4">
        <f t="shared" si="32"/>
        <v>-487800</v>
      </c>
      <c r="G103" s="4">
        <f t="shared" si="32"/>
        <v>0</v>
      </c>
      <c r="H103" s="4">
        <f t="shared" si="32"/>
        <v>0</v>
      </c>
      <c r="I103" s="4">
        <f t="shared" si="32"/>
        <v>0</v>
      </c>
      <c r="J103" s="4">
        <f t="shared" si="32"/>
        <v>0</v>
      </c>
      <c r="K103" s="4">
        <f t="shared" si="32"/>
        <v>0</v>
      </c>
      <c r="L103" s="4">
        <f t="shared" si="32"/>
        <v>0</v>
      </c>
      <c r="M103" s="4">
        <f t="shared" si="32"/>
        <v>0</v>
      </c>
      <c r="N103" s="4">
        <f t="shared" si="32"/>
        <v>0</v>
      </c>
      <c r="O103" s="4">
        <f t="shared" si="32"/>
        <v>0</v>
      </c>
      <c r="P103" s="4">
        <f t="shared" si="32"/>
        <v>0</v>
      </c>
      <c r="Q103" s="4">
        <f t="shared" si="32"/>
        <v>0</v>
      </c>
      <c r="R103" s="4">
        <f t="shared" si="32"/>
        <v>0</v>
      </c>
      <c r="S103" s="4">
        <f t="shared" si="32"/>
        <v>0</v>
      </c>
      <c r="T103" s="4">
        <f t="shared" si="32"/>
        <v>0</v>
      </c>
    </row>
    <row r="104" spans="1:20" ht="12">
      <c r="A104" t="s">
        <v>51</v>
      </c>
      <c r="E104" s="11">
        <f>K7</f>
        <v>487800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</row>
    <row r="105" spans="1:20" ht="12">
      <c r="A105" t="s">
        <v>50</v>
      </c>
      <c r="E105" s="4">
        <f aca="true" t="shared" si="33" ref="E105:T105">SUM(E102:E104)</f>
        <v>487800</v>
      </c>
      <c r="F105" s="4">
        <f t="shared" si="33"/>
        <v>0</v>
      </c>
      <c r="G105" s="4">
        <f t="shared" si="33"/>
        <v>0</v>
      </c>
      <c r="H105" s="4">
        <f t="shared" si="33"/>
        <v>0</v>
      </c>
      <c r="I105" s="4">
        <f t="shared" si="33"/>
        <v>0</v>
      </c>
      <c r="J105" s="4">
        <f t="shared" si="33"/>
        <v>0</v>
      </c>
      <c r="K105" s="4">
        <f t="shared" si="33"/>
        <v>0</v>
      </c>
      <c r="L105" s="4">
        <f t="shared" si="33"/>
        <v>0</v>
      </c>
      <c r="M105" s="4">
        <f t="shared" si="33"/>
        <v>0</v>
      </c>
      <c r="N105" s="4">
        <f t="shared" si="33"/>
        <v>0</v>
      </c>
      <c r="O105" s="4">
        <f t="shared" si="33"/>
        <v>0</v>
      </c>
      <c r="P105" s="4">
        <f t="shared" si="33"/>
        <v>0</v>
      </c>
      <c r="Q105" s="4">
        <f t="shared" si="33"/>
        <v>0</v>
      </c>
      <c r="R105" s="4">
        <f t="shared" si="33"/>
        <v>0</v>
      </c>
      <c r="S105" s="4">
        <f t="shared" si="33"/>
        <v>0</v>
      </c>
      <c r="T105" s="4">
        <f t="shared" si="33"/>
        <v>0</v>
      </c>
    </row>
    <row r="107" ht="12">
      <c r="A107" s="5" t="s">
        <v>54</v>
      </c>
    </row>
    <row r="108" spans="1:20" ht="12">
      <c r="A108" t="s">
        <v>48</v>
      </c>
      <c r="E108" s="4">
        <v>0</v>
      </c>
      <c r="F108" s="4">
        <f>E111</f>
        <v>0</v>
      </c>
      <c r="G108" s="4">
        <f aca="true" t="shared" si="34" ref="G108:T108">F111</f>
        <v>0</v>
      </c>
      <c r="H108" s="4">
        <f t="shared" si="34"/>
        <v>0</v>
      </c>
      <c r="I108" s="4">
        <f t="shared" si="34"/>
        <v>0</v>
      </c>
      <c r="J108" s="4">
        <f t="shared" si="34"/>
        <v>0</v>
      </c>
      <c r="K108" s="4">
        <f t="shared" si="34"/>
        <v>0</v>
      </c>
      <c r="L108" s="4">
        <f t="shared" si="34"/>
        <v>0</v>
      </c>
      <c r="M108" s="4">
        <f t="shared" si="34"/>
        <v>0</v>
      </c>
      <c r="N108" s="4">
        <f t="shared" si="34"/>
        <v>0</v>
      </c>
      <c r="O108" s="4">
        <f t="shared" si="34"/>
        <v>0</v>
      </c>
      <c r="P108" s="4">
        <f t="shared" si="34"/>
        <v>0</v>
      </c>
      <c r="Q108" s="4">
        <f t="shared" si="34"/>
        <v>0</v>
      </c>
      <c r="R108" s="4">
        <f t="shared" si="34"/>
        <v>0</v>
      </c>
      <c r="S108" s="4">
        <f t="shared" si="34"/>
        <v>0</v>
      </c>
      <c r="T108" s="4">
        <f t="shared" si="34"/>
        <v>0</v>
      </c>
    </row>
    <row r="109" spans="1:20" ht="12">
      <c r="A109" t="s">
        <v>49</v>
      </c>
      <c r="E109" s="4">
        <f aca="true" t="shared" si="35" ref="E109:T109">IF(E26&lt;$L$12,0,IF(E26&gt;=$L$12+$L$13,0,-$L$14))</f>
        <v>0</v>
      </c>
      <c r="F109" s="4">
        <f t="shared" si="35"/>
        <v>0</v>
      </c>
      <c r="G109" s="4">
        <f t="shared" si="35"/>
        <v>0</v>
      </c>
      <c r="H109" s="4">
        <f t="shared" si="35"/>
        <v>0</v>
      </c>
      <c r="I109" s="4">
        <f t="shared" si="35"/>
        <v>0</v>
      </c>
      <c r="J109" s="4">
        <f t="shared" si="35"/>
        <v>0</v>
      </c>
      <c r="K109" s="4">
        <f t="shared" si="35"/>
        <v>0</v>
      </c>
      <c r="L109" s="4">
        <f t="shared" si="35"/>
        <v>0</v>
      </c>
      <c r="M109" s="4">
        <f t="shared" si="35"/>
        <v>0</v>
      </c>
      <c r="N109" s="4">
        <f t="shared" si="35"/>
        <v>0</v>
      </c>
      <c r="O109" s="4">
        <f t="shared" si="35"/>
        <v>0</v>
      </c>
      <c r="P109" s="4">
        <f t="shared" si="35"/>
        <v>0</v>
      </c>
      <c r="Q109" s="4">
        <f t="shared" si="35"/>
        <v>0</v>
      </c>
      <c r="R109" s="4">
        <f t="shared" si="35"/>
        <v>0</v>
      </c>
      <c r="S109" s="4">
        <f t="shared" si="35"/>
        <v>0</v>
      </c>
      <c r="T109" s="4">
        <f t="shared" si="35"/>
        <v>0</v>
      </c>
    </row>
    <row r="110" spans="1:20" ht="12">
      <c r="A110" t="s">
        <v>51</v>
      </c>
      <c r="E110" s="11">
        <f>L7</f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</row>
    <row r="111" spans="1:20" ht="12">
      <c r="A111" t="s">
        <v>50</v>
      </c>
      <c r="E111" s="4">
        <f>SUM(E108:E110)</f>
        <v>0</v>
      </c>
      <c r="F111" s="4">
        <f>SUM(F108:F110)</f>
        <v>0</v>
      </c>
      <c r="G111" s="4">
        <f aca="true" t="shared" si="36" ref="G111:T111">SUM(G108:G110)</f>
        <v>0</v>
      </c>
      <c r="H111" s="4">
        <f t="shared" si="36"/>
        <v>0</v>
      </c>
      <c r="I111" s="4">
        <f t="shared" si="36"/>
        <v>0</v>
      </c>
      <c r="J111" s="4">
        <f t="shared" si="36"/>
        <v>0</v>
      </c>
      <c r="K111" s="4">
        <f t="shared" si="36"/>
        <v>0</v>
      </c>
      <c r="L111" s="4">
        <f t="shared" si="36"/>
        <v>0</v>
      </c>
      <c r="M111" s="4">
        <f t="shared" si="36"/>
        <v>0</v>
      </c>
      <c r="N111" s="4">
        <f t="shared" si="36"/>
        <v>0</v>
      </c>
      <c r="O111" s="4">
        <f t="shared" si="36"/>
        <v>0</v>
      </c>
      <c r="P111" s="4">
        <f t="shared" si="36"/>
        <v>0</v>
      </c>
      <c r="Q111" s="4">
        <f t="shared" si="36"/>
        <v>0</v>
      </c>
      <c r="R111" s="4">
        <f t="shared" si="36"/>
        <v>0</v>
      </c>
      <c r="S111" s="4">
        <f t="shared" si="36"/>
        <v>0</v>
      </c>
      <c r="T111" s="4">
        <f t="shared" si="36"/>
        <v>0</v>
      </c>
    </row>
    <row r="113" ht="12">
      <c r="A113" s="5" t="s">
        <v>55</v>
      </c>
    </row>
    <row r="114" spans="1:20" ht="12">
      <c r="A114" t="s">
        <v>48</v>
      </c>
      <c r="E114" s="4">
        <f>E90+E96+E102+E108</f>
        <v>0</v>
      </c>
      <c r="F114" s="4">
        <f aca="true" t="shared" si="37" ref="F114:T114">F90+F96+F102+F108</f>
        <v>487800</v>
      </c>
      <c r="G114" s="4">
        <f t="shared" si="37"/>
        <v>0</v>
      </c>
      <c r="H114" s="4">
        <f t="shared" si="37"/>
        <v>0</v>
      </c>
      <c r="I114" s="4">
        <f t="shared" si="37"/>
        <v>0</v>
      </c>
      <c r="J114" s="4">
        <f t="shared" si="37"/>
        <v>0</v>
      </c>
      <c r="K114" s="4">
        <f t="shared" si="37"/>
        <v>0</v>
      </c>
      <c r="L114" s="4">
        <f t="shared" si="37"/>
        <v>0</v>
      </c>
      <c r="M114" s="4">
        <f t="shared" si="37"/>
        <v>0</v>
      </c>
      <c r="N114" s="4">
        <f t="shared" si="37"/>
        <v>0</v>
      </c>
      <c r="O114" s="4">
        <f t="shared" si="37"/>
        <v>0</v>
      </c>
      <c r="P114" s="4">
        <f t="shared" si="37"/>
        <v>0</v>
      </c>
      <c r="Q114" s="4">
        <f t="shared" si="37"/>
        <v>0</v>
      </c>
      <c r="R114" s="4">
        <f t="shared" si="37"/>
        <v>0</v>
      </c>
      <c r="S114" s="4">
        <f t="shared" si="37"/>
        <v>0</v>
      </c>
      <c r="T114" s="4">
        <f t="shared" si="37"/>
        <v>0</v>
      </c>
    </row>
    <row r="115" spans="1:20" ht="12">
      <c r="A115" t="s">
        <v>49</v>
      </c>
      <c r="E115" s="4">
        <f aca="true" t="shared" si="38" ref="E115:T116">E91+E97+E103+E109</f>
        <v>0</v>
      </c>
      <c r="F115" s="4">
        <f t="shared" si="38"/>
        <v>-487800</v>
      </c>
      <c r="G115" s="4">
        <f t="shared" si="38"/>
        <v>0</v>
      </c>
      <c r="H115" s="4">
        <f t="shared" si="38"/>
        <v>0</v>
      </c>
      <c r="I115" s="4">
        <f t="shared" si="38"/>
        <v>0</v>
      </c>
      <c r="J115" s="4">
        <f t="shared" si="38"/>
        <v>0</v>
      </c>
      <c r="K115" s="4">
        <f t="shared" si="38"/>
        <v>0</v>
      </c>
      <c r="L115" s="4">
        <f t="shared" si="38"/>
        <v>0</v>
      </c>
      <c r="M115" s="4">
        <f t="shared" si="38"/>
        <v>0</v>
      </c>
      <c r="N115" s="4">
        <f t="shared" si="38"/>
        <v>0</v>
      </c>
      <c r="O115" s="4">
        <f t="shared" si="38"/>
        <v>0</v>
      </c>
      <c r="P115" s="4">
        <f t="shared" si="38"/>
        <v>0</v>
      </c>
      <c r="Q115" s="4">
        <f t="shared" si="38"/>
        <v>0</v>
      </c>
      <c r="R115" s="4">
        <f t="shared" si="38"/>
        <v>0</v>
      </c>
      <c r="S115" s="4">
        <f t="shared" si="38"/>
        <v>0</v>
      </c>
      <c r="T115" s="4">
        <f t="shared" si="38"/>
        <v>0</v>
      </c>
    </row>
    <row r="116" spans="1:20" ht="12">
      <c r="A116" t="s">
        <v>51</v>
      </c>
      <c r="E116" s="11">
        <f t="shared" si="38"/>
        <v>487800</v>
      </c>
      <c r="F116" s="11">
        <f t="shared" si="38"/>
        <v>0</v>
      </c>
      <c r="G116" s="11">
        <f t="shared" si="38"/>
        <v>0</v>
      </c>
      <c r="H116" s="11">
        <f t="shared" si="38"/>
        <v>0</v>
      </c>
      <c r="I116" s="11">
        <f t="shared" si="38"/>
        <v>0</v>
      </c>
      <c r="J116" s="11">
        <f t="shared" si="38"/>
        <v>0</v>
      </c>
      <c r="K116" s="11">
        <f t="shared" si="38"/>
        <v>0</v>
      </c>
      <c r="L116" s="11">
        <f t="shared" si="38"/>
        <v>0</v>
      </c>
      <c r="M116" s="11">
        <f t="shared" si="38"/>
        <v>0</v>
      </c>
      <c r="N116" s="11">
        <f t="shared" si="38"/>
        <v>0</v>
      </c>
      <c r="O116" s="11">
        <f t="shared" si="38"/>
        <v>0</v>
      </c>
      <c r="P116" s="11">
        <f t="shared" si="38"/>
        <v>0</v>
      </c>
      <c r="Q116" s="11">
        <f t="shared" si="38"/>
        <v>0</v>
      </c>
      <c r="R116" s="11">
        <f t="shared" si="38"/>
        <v>0</v>
      </c>
      <c r="S116" s="11">
        <f t="shared" si="38"/>
        <v>0</v>
      </c>
      <c r="T116" s="11">
        <f t="shared" si="38"/>
        <v>0</v>
      </c>
    </row>
    <row r="117" spans="1:20" ht="12">
      <c r="A117" t="s">
        <v>50</v>
      </c>
      <c r="E117" s="4">
        <f aca="true" t="shared" si="39" ref="E117:T117">SUM(E114:E116)</f>
        <v>487800</v>
      </c>
      <c r="F117" s="4">
        <f t="shared" si="39"/>
        <v>0</v>
      </c>
      <c r="G117" s="4">
        <f t="shared" si="39"/>
        <v>0</v>
      </c>
      <c r="H117" s="4">
        <f t="shared" si="39"/>
        <v>0</v>
      </c>
      <c r="I117" s="4">
        <f t="shared" si="39"/>
        <v>0</v>
      </c>
      <c r="J117" s="4">
        <f t="shared" si="39"/>
        <v>0</v>
      </c>
      <c r="K117" s="4">
        <f t="shared" si="39"/>
        <v>0</v>
      </c>
      <c r="L117" s="4">
        <f t="shared" si="39"/>
        <v>0</v>
      </c>
      <c r="M117" s="4">
        <f t="shared" si="39"/>
        <v>0</v>
      </c>
      <c r="N117" s="4">
        <f t="shared" si="39"/>
        <v>0</v>
      </c>
      <c r="O117" s="4">
        <f t="shared" si="39"/>
        <v>0</v>
      </c>
      <c r="P117" s="4">
        <f t="shared" si="39"/>
        <v>0</v>
      </c>
      <c r="Q117" s="4">
        <f t="shared" si="39"/>
        <v>0</v>
      </c>
      <c r="R117" s="4">
        <f t="shared" si="39"/>
        <v>0</v>
      </c>
      <c r="S117" s="4">
        <f t="shared" si="39"/>
        <v>0</v>
      </c>
      <c r="T117" s="4">
        <f t="shared" si="39"/>
        <v>0</v>
      </c>
    </row>
    <row r="119" spans="1:20" ht="12">
      <c r="A119" t="s">
        <v>97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</row>
    <row r="120" spans="5:20" ht="12">
      <c r="E120" s="21">
        <v>1</v>
      </c>
      <c r="F120" s="22">
        <f aca="true" t="shared" si="40" ref="F120:T120">E120*(1+$D$20)</f>
        <v>1.03</v>
      </c>
      <c r="G120" s="22">
        <f t="shared" si="40"/>
        <v>1.0609</v>
      </c>
      <c r="H120" s="22">
        <f t="shared" si="40"/>
        <v>1.092727</v>
      </c>
      <c r="I120" s="22">
        <f t="shared" si="40"/>
        <v>1.1255088100000001</v>
      </c>
      <c r="J120" s="22">
        <f t="shared" si="40"/>
        <v>1.1592740743</v>
      </c>
      <c r="K120" s="22">
        <f t="shared" si="40"/>
        <v>1.1940522965290001</v>
      </c>
      <c r="L120" s="22">
        <f t="shared" si="40"/>
        <v>1.2298738654248702</v>
      </c>
      <c r="M120" s="22">
        <f t="shared" si="40"/>
        <v>1.2667700813876164</v>
      </c>
      <c r="N120" s="22">
        <f t="shared" si="40"/>
        <v>1.304773183829245</v>
      </c>
      <c r="O120" s="22">
        <f t="shared" si="40"/>
        <v>1.3439163793441222</v>
      </c>
      <c r="P120" s="22">
        <f t="shared" si="40"/>
        <v>1.384233870724446</v>
      </c>
      <c r="Q120" s="22">
        <f t="shared" si="40"/>
        <v>1.4257608868461793</v>
      </c>
      <c r="R120" s="22">
        <f t="shared" si="40"/>
        <v>1.4685337134515648</v>
      </c>
      <c r="S120" s="22">
        <f t="shared" si="40"/>
        <v>1.512589724855112</v>
      </c>
      <c r="T120" s="22">
        <f t="shared" si="40"/>
        <v>1.5579674166007653</v>
      </c>
    </row>
    <row r="121" spans="1:20" ht="12">
      <c r="A121" t="s">
        <v>98</v>
      </c>
      <c r="E121" s="27">
        <f>E119*E120</f>
        <v>0</v>
      </c>
      <c r="F121" s="27">
        <f aca="true" t="shared" si="41" ref="F121:T121">F119*F120</f>
        <v>0</v>
      </c>
      <c r="G121" s="27">
        <f t="shared" si="41"/>
        <v>0</v>
      </c>
      <c r="H121" s="27">
        <f t="shared" si="41"/>
        <v>0</v>
      </c>
      <c r="I121" s="27">
        <f t="shared" si="41"/>
        <v>0</v>
      </c>
      <c r="J121" s="27">
        <f t="shared" si="41"/>
        <v>0</v>
      </c>
      <c r="K121" s="27">
        <f t="shared" si="41"/>
        <v>0</v>
      </c>
      <c r="L121" s="27">
        <f t="shared" si="41"/>
        <v>0</v>
      </c>
      <c r="M121" s="27">
        <f t="shared" si="41"/>
        <v>0</v>
      </c>
      <c r="N121" s="27">
        <f t="shared" si="41"/>
        <v>0</v>
      </c>
      <c r="O121" s="27">
        <f t="shared" si="41"/>
        <v>0</v>
      </c>
      <c r="P121" s="27">
        <f t="shared" si="41"/>
        <v>0</v>
      </c>
      <c r="Q121" s="27">
        <f t="shared" si="41"/>
        <v>0</v>
      </c>
      <c r="R121" s="27">
        <f t="shared" si="41"/>
        <v>0</v>
      </c>
      <c r="S121" s="27">
        <f t="shared" si="41"/>
        <v>0</v>
      </c>
      <c r="T121" s="27">
        <f t="shared" si="41"/>
        <v>0</v>
      </c>
    </row>
  </sheetData>
  <mergeCells count="2">
    <mergeCell ref="Q5:S5"/>
    <mergeCell ref="I5:L5"/>
  </mergeCells>
  <printOptions/>
  <pageMargins left="0.5" right="0.5" top="0.5" bottom="0.5" header="0" footer="0"/>
  <pageSetup fitToHeight="1" fitToWidth="1" horizontalDpi="600" verticalDpi="600" orientation="landscape" scale="56"/>
  <headerFooter alignWithMargins="0">
    <oddHeader>&amp;R&amp;F, &amp;A:  Page &amp;P of &amp;N</oddHeader>
    <oddFooter>&amp;LConfidential Draft - &amp;T on &amp;D&amp;RWells Hill Partners, Ltd.</oddFooter>
  </headerFooter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"/>
    </sheetView>
  </sheetViews>
  <sheetFormatPr defaultColWidth="8.8515625" defaultRowHeight="12.75"/>
  <cols>
    <col min="1" max="1" width="19.28125" style="0" customWidth="1"/>
    <col min="2" max="2" width="16.8515625" style="0" customWidth="1"/>
  </cols>
  <sheetData>
    <row r="1" spans="4:6" ht="12">
      <c r="D1" t="s">
        <v>113</v>
      </c>
      <c r="F1" t="s">
        <v>118</v>
      </c>
    </row>
    <row r="2" spans="1:6" ht="12">
      <c r="A2" t="s">
        <v>112</v>
      </c>
      <c r="C2" s="13">
        <v>0.127</v>
      </c>
      <c r="D2" s="13">
        <v>0.1525</v>
      </c>
      <c r="E2" s="13">
        <v>0.1771</v>
      </c>
      <c r="F2" s="13">
        <f>E2-C2</f>
        <v>0.050100000000000006</v>
      </c>
    </row>
    <row r="3" spans="1:6" ht="12">
      <c r="A3" t="s">
        <v>114</v>
      </c>
      <c r="C3" s="13">
        <v>0.1133</v>
      </c>
      <c r="E3" s="13">
        <v>0.1793</v>
      </c>
      <c r="F3" s="13">
        <f>E3-C3</f>
        <v>0.06599999999999999</v>
      </c>
    </row>
    <row r="4" spans="1:6" ht="12">
      <c r="A4" t="s">
        <v>115</v>
      </c>
      <c r="C4" s="13">
        <v>0.1214</v>
      </c>
      <c r="E4" s="13">
        <v>0.1839</v>
      </c>
      <c r="F4" s="13">
        <f>E4-C4</f>
        <v>0.06250000000000001</v>
      </c>
    </row>
    <row r="5" spans="1:6" ht="12">
      <c r="A5" t="s">
        <v>116</v>
      </c>
      <c r="C5" s="13">
        <v>0.141</v>
      </c>
      <c r="E5" s="13">
        <v>0.1626</v>
      </c>
      <c r="F5" s="13">
        <f>E5-C5</f>
        <v>0.021600000000000008</v>
      </c>
    </row>
    <row r="6" spans="1:6" ht="12">
      <c r="A6" t="s">
        <v>117</v>
      </c>
      <c r="C6" s="13">
        <v>0.1463</v>
      </c>
      <c r="E6" s="13">
        <v>0.1587</v>
      </c>
      <c r="F6" s="13">
        <f>E6-C6</f>
        <v>0.012399999999999994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Most Likely Case</dc:title>
  <dc:subject>Potomac Yard</dc:subject>
  <dc:creator>Henry Lomax</dc:creator>
  <cp:keywords/>
  <dc:description/>
  <cp:lastModifiedBy>Daniel Kohlhepp</cp:lastModifiedBy>
  <cp:lastPrinted>2002-11-21T18:52:47Z</cp:lastPrinted>
  <dcterms:created xsi:type="dcterms:W3CDTF">2000-02-19T16:39:58Z</dcterms:created>
  <dcterms:modified xsi:type="dcterms:W3CDTF">2012-04-07T19:04:56Z</dcterms:modified>
  <cp:category/>
  <cp:version/>
  <cp:contentType/>
  <cp:contentStatus/>
</cp:coreProperties>
</file>