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9740" windowHeight="10220" activeTab="0"/>
  </bookViews>
  <sheets>
    <sheet name="3 page summary " sheetId="1" r:id="rId1"/>
    <sheet name="Sheet3" sheetId="2" r:id="rId2"/>
    <sheet name="Assumptions" sheetId="3" r:id="rId3"/>
  </sheets>
  <externalReferences>
    <externalReference r:id="rId6"/>
    <externalReference r:id="rId7"/>
    <externalReference r:id="rId8"/>
  </externalReferences>
  <definedNames>
    <definedName name="\D">#REF!</definedName>
    <definedName name="\M">#REF!</definedName>
    <definedName name="\S">#REF!</definedName>
    <definedName name="\T">#REF!</definedName>
    <definedName name="A">#REF!</definedName>
    <definedName name="IMPORT">#REF!</definedName>
    <definedName name="INPUT">#REF!</definedName>
    <definedName name="LAND" localSheetId="2">'Assumptions'!$C$15</definedName>
    <definedName name="LAND">'[1]Summary'!#REF!</definedName>
    <definedName name="MACRO">#REF!</definedName>
    <definedName name="MAINMENU">#REF!</definedName>
    <definedName name="NOI" localSheetId="2">'Assumptions'!#REF!</definedName>
    <definedName name="NOI">'[1]Summary'!#REF!</definedName>
    <definedName name="PAGE_1" localSheetId="2">'Assumptions'!#REF!</definedName>
    <definedName name="PAGE_2" localSheetId="2">'Assumptions'!$A$1:$N$60</definedName>
    <definedName name="PAGE_2">'[1]Summary'!#REF!</definedName>
    <definedName name="PAGE_3" localSheetId="2">'Assumptions'!#REF!</definedName>
    <definedName name="PAGE_3">'[1]Summary'!#REF!</definedName>
    <definedName name="PAGE_4" localSheetId="2">'Assumptions'!#REF!</definedName>
    <definedName name="PAGE_4">'[1]Summary'!#REF!</definedName>
    <definedName name="PAGE_5" localSheetId="2">'Assumptions'!#REF!</definedName>
    <definedName name="PAGE_5">'[1]Summary'!#REF!</definedName>
    <definedName name="PRINT">#REF!</definedName>
    <definedName name="_xlnm.Print_Area" localSheetId="0">'3 page summary '!$A$1:$L$171</definedName>
    <definedName name="_xlnm.Print_Area" localSheetId="2">'Assumptions'!#REF!</definedName>
    <definedName name="PRNT" localSheetId="2">'Assumptions'!#REF!</definedName>
    <definedName name="PRNT">'[1]Summary'!#REF!</definedName>
    <definedName name="RET" localSheetId="2">'Assumptions'!#REF!</definedName>
    <definedName name="SF">#REF!</definedName>
    <definedName name="TITLE" localSheetId="2">'Assumptions'!#REF!</definedName>
    <definedName name="X">#REF!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Crescent</author>
  </authors>
  <commentList>
    <comment ref="J19" authorId="0">
      <text>
        <r>
          <rPr>
            <b/>
            <sz val="8"/>
            <rFont val="Tahoma"/>
            <family val="0"/>
          </rPr>
          <t>Crescent:</t>
        </r>
        <r>
          <rPr>
            <sz val="8"/>
            <rFont val="Tahoma"/>
            <family val="0"/>
          </rPr>
          <t xml:space="preserve">
2% if sale price exceeds $25 million.
3% if under $25 million.</t>
        </r>
      </text>
    </comment>
    <comment ref="A29" authorId="0">
      <text>
        <r>
          <rPr>
            <b/>
            <sz val="8"/>
            <rFont val="Tahoma"/>
            <family val="0"/>
          </rPr>
          <t>Crescent:</t>
        </r>
        <r>
          <rPr>
            <sz val="8"/>
            <rFont val="Tahoma"/>
            <family val="0"/>
          </rPr>
          <t xml:space="preserve">
Verify Year 2 is appropriate.</t>
        </r>
      </text>
    </comment>
    <comment ref="I27" authorId="0">
      <text>
        <r>
          <rPr>
            <b/>
            <sz val="8"/>
            <rFont val="Tahoma"/>
            <family val="0"/>
          </rPr>
          <t>Crescent:</t>
        </r>
        <r>
          <rPr>
            <sz val="8"/>
            <rFont val="Tahoma"/>
            <family val="0"/>
          </rPr>
          <t xml:space="preserve">
Y or N for amortization rent.  Calculates if Yes.</t>
        </r>
      </text>
    </comment>
  </commentList>
</comments>
</file>

<file path=xl/sharedStrings.xml><?xml version="1.0" encoding="utf-8"?>
<sst xmlns="http://schemas.openxmlformats.org/spreadsheetml/2006/main" count="252" uniqueCount="118">
  <si>
    <t>Amortized Over Lease Term at</t>
  </si>
  <si>
    <t xml:space="preserve">   DEBT COVERAGE RATIO:</t>
  </si>
  <si>
    <t>"Amortization" Rent</t>
  </si>
  <si>
    <t>n</t>
  </si>
  <si>
    <t xml:space="preserve">   AVERAGE VACANCY:</t>
  </si>
  <si>
    <t>Base Rent Rate</t>
  </si>
  <si>
    <t xml:space="preserve">   LOAN TO VALUE (Stabilized):</t>
  </si>
  <si>
    <t>Total Rent</t>
  </si>
  <si>
    <t>Term (Years)</t>
  </si>
  <si>
    <t>Commission Rate (Yrs. 1-10)</t>
  </si>
  <si>
    <t>Commission Rate (&gt;10 Years)</t>
  </si>
  <si>
    <t>N/A</t>
  </si>
  <si>
    <t>Escalations</t>
  </si>
  <si>
    <t>Total Commissions</t>
  </si>
  <si>
    <t>Operating Expense Stop PSF</t>
  </si>
  <si>
    <t>Parking Revenue PSF</t>
  </si>
  <si>
    <t>PROJECT COSTS</t>
  </si>
  <si>
    <t>HARD COSTS:</t>
  </si>
  <si>
    <t>SOFT COSTS:</t>
  </si>
  <si>
    <t>$</t>
  </si>
  <si>
    <t>PSF</t>
  </si>
  <si>
    <t>Land</t>
  </si>
  <si>
    <t>Commissions</t>
  </si>
  <si>
    <t>Closing / Title Fees</t>
  </si>
  <si>
    <t>Land, Other - Special Fees</t>
  </si>
  <si>
    <t>Legal / Professional</t>
  </si>
  <si>
    <t>Real Estate Taxes During Constr.</t>
  </si>
  <si>
    <t>Financing Fees</t>
  </si>
  <si>
    <t>Construction Period Int.</t>
  </si>
  <si>
    <t>Permanent Interest Reserve</t>
  </si>
  <si>
    <t>Operating Deficit Reserve</t>
  </si>
  <si>
    <t>Contingency - Hard</t>
  </si>
  <si>
    <t>Advertising / Promotion</t>
  </si>
  <si>
    <t>Project Administration</t>
  </si>
  <si>
    <t>Development Fee</t>
  </si>
  <si>
    <t>Architecture / Engineering</t>
  </si>
  <si>
    <t>Leasing Expenses</t>
  </si>
  <si>
    <t>Insurance</t>
  </si>
  <si>
    <t>Inducements</t>
  </si>
  <si>
    <t>Testing / Inspection / Permits</t>
  </si>
  <si>
    <t>Contingency - Soft</t>
  </si>
  <si>
    <t>Landscaping</t>
  </si>
  <si>
    <t>Signage</t>
  </si>
  <si>
    <t>Special Features</t>
  </si>
  <si>
    <t>Tenant Upfits</t>
  </si>
  <si>
    <t>Subtotal - Soft</t>
  </si>
  <si>
    <t>Subtotal - Hard</t>
  </si>
  <si>
    <t>TOTAL PROJECT COSTS</t>
  </si>
  <si>
    <t>619,920 SqFt OFFICE - COMBINED PHASES - POTOMAC YARD - ARLINGTON, VIRGINIA</t>
  </si>
  <si>
    <t>First Year Free Rent (months)</t>
  </si>
  <si>
    <t>Contruction Contract - Shell Building/Parking</t>
  </si>
  <si>
    <t>Construction Contract - Steel Increases</t>
  </si>
  <si>
    <t>Construction - GSA Added Requirements</t>
  </si>
  <si>
    <t>Construction - Warm Shell w/ Lights</t>
  </si>
  <si>
    <t>Davis Bacon</t>
  </si>
  <si>
    <t>Leed Silver</t>
  </si>
  <si>
    <t>Proforma Income</t>
  </si>
  <si>
    <t>Bld One Wt</t>
  </si>
  <si>
    <t>One and Two Potomac Yard Financial Summary</t>
  </si>
  <si>
    <t>Two Potomac Yard Financial Summary</t>
  </si>
  <si>
    <t xml:space="preserve"> (Excluding Land)</t>
  </si>
  <si>
    <t>Construction Contract</t>
  </si>
  <si>
    <t>One  Potomac Yard Financial Summary</t>
  </si>
  <si>
    <t>Property Description</t>
  </si>
  <si>
    <t>Acres</t>
  </si>
  <si>
    <t>GBA</t>
  </si>
  <si>
    <t>Rentable</t>
  </si>
  <si>
    <t>EPA</t>
  </si>
  <si>
    <t>Spec</t>
  </si>
  <si>
    <t>EPA RSF</t>
  </si>
  <si>
    <t>Development Costs</t>
  </si>
  <si>
    <t>Bldg One</t>
  </si>
  <si>
    <t>Bldg Two</t>
  </si>
  <si>
    <t>Total</t>
  </si>
  <si>
    <t>Gross Rent</t>
  </si>
  <si>
    <t>Effective Gross Income</t>
  </si>
  <si>
    <t>Operating Expenses</t>
  </si>
  <si>
    <t>Parking</t>
  </si>
  <si>
    <t>Return on Costs</t>
  </si>
  <si>
    <t>Net Operating Income</t>
  </si>
  <si>
    <t>Spec @</t>
  </si>
  <si>
    <t>Spec Vacancy @</t>
  </si>
  <si>
    <t>PAGE</t>
  </si>
  <si>
    <t>(LAND AT  COST)</t>
  </si>
  <si>
    <t>ASSUMPTIONS</t>
  </si>
  <si>
    <t>PROJECT:</t>
  </si>
  <si>
    <t>INVESTMENT &amp; ACCOUNTING:</t>
  </si>
  <si>
    <t xml:space="preserve">   SIZE:</t>
  </si>
  <si>
    <t>rentable</t>
  </si>
  <si>
    <t>gross</t>
  </si>
  <si>
    <t xml:space="preserve">   INITIAL EQUITY INVESTMENT</t>
  </si>
  <si>
    <t xml:space="preserve">   TOTAL DEVELOPMENT COSTS:</t>
  </si>
  <si>
    <t xml:space="preserve">   LAND COST/TOTAL RATIO</t>
  </si>
  <si>
    <t xml:space="preserve">   LAND:</t>
  </si>
  <si>
    <t>acres</t>
  </si>
  <si>
    <t xml:space="preserve">   INCOME TAX RATE (combined)</t>
  </si>
  <si>
    <t>cost per acre</t>
  </si>
  <si>
    <t xml:space="preserve">   INITIAL CASH OUTLAY/(INFLOW)</t>
  </si>
  <si>
    <t xml:space="preserve"> Project Cost (excluding Land) less Debt</t>
  </si>
  <si>
    <t xml:space="preserve">   CONSTR. PERIOD:</t>
  </si>
  <si>
    <t>months</t>
  </si>
  <si>
    <t xml:space="preserve">   LEASEUP PERIOD:</t>
  </si>
  <si>
    <t>SALE:</t>
  </si>
  <si>
    <t xml:space="preserve">   CAP RATE</t>
  </si>
  <si>
    <t>MORTGAGE:</t>
  </si>
  <si>
    <t xml:space="preserve">   COST OF SALE</t>
  </si>
  <si>
    <t xml:space="preserve">   MORTGAGE AMOUNT</t>
  </si>
  <si>
    <t>LEASE TERMS:</t>
  </si>
  <si>
    <t>Prelease</t>
  </si>
  <si>
    <t>Total/Avg.</t>
  </si>
  <si>
    <t xml:space="preserve">   PERMANENT INTEREST RATE</t>
  </si>
  <si>
    <t>Square Feet</t>
  </si>
  <si>
    <t xml:space="preserve">   AMORTIZATION:</t>
  </si>
  <si>
    <t>% of Building</t>
  </si>
  <si>
    <t xml:space="preserve">   ANNUAL PAYMENT =</t>
  </si>
  <si>
    <t>Tenant Improvements (Std)</t>
  </si>
  <si>
    <t xml:space="preserve">   MONTHLY PAYMENT = </t>
  </si>
  <si>
    <t>Above Standard Allowance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</si>
</sst>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ddd\,\ mmmm\ dd\,\ yyyy"/>
    <numFmt numFmtId="170" formatCode="&quot;$&quot;#,##0.0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mm/dd/yy_)"/>
    <numFmt numFmtId="176" formatCode="hh:mm\ AM/PM_)"/>
    <numFmt numFmtId="177" formatCode=";;;"/>
    <numFmt numFmtId="178" formatCode="#,##0.000_);\(#,##0.000\)"/>
    <numFmt numFmtId="179" formatCode="0.0%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$&quot;#,##0.000_);\(&quot;$&quot;#,##0.000\)"/>
    <numFmt numFmtId="183" formatCode="&quot;$&quot;#,##0.0_);\(&quot;$&quot;#,##0.0\)"/>
    <numFmt numFmtId="184" formatCode="0.000%"/>
    <numFmt numFmtId="185" formatCode="m/d/yy;@"/>
    <numFmt numFmtId="186" formatCode="mmm\-yyyy"/>
    <numFmt numFmtId="187" formatCode="[$-409]d\-mmm\-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_);\(#,##0.0\)"/>
    <numFmt numFmtId="193" formatCode="#,##0.0000_);\(#,##0.0000\)"/>
    <numFmt numFmtId="194" formatCode="_(&quot;$&quot;* #,##0.000_);_(&quot;$&quot;* \(#,##0.000\);_(&quot;$&quot;* &quot;-&quot;??_);_(@_)"/>
    <numFmt numFmtId="195" formatCode="&quot;$&quot;#,##0"/>
    <numFmt numFmtId="196" formatCode="mmmm\,\ yyyy"/>
    <numFmt numFmtId="197" formatCode="_(&quot;$&quot;* #,##0.000_);_(&quot;$&quot;* \(#,##0.000\);_(&quot;$&quot;* &quot;-&quot;???_);_(@_)"/>
    <numFmt numFmtId="198" formatCode="_(* #,##0.000_);_(* \(#,##0.000\);_(* &quot;-&quot;???_);_(@_)"/>
    <numFmt numFmtId="199" formatCode="0.0000%"/>
    <numFmt numFmtId="200" formatCode="&quot;$&quot;#,##0.0000_);\(&quot;$&quot;#,##0.0000\)"/>
    <numFmt numFmtId="201" formatCode="_(&quot;$&quot;* #,##0.0000_);_(&quot;$&quot;* \(#,##0.0000\);_(&quot;$&quot;* &quot;-&quot;??_);_(@_)"/>
    <numFmt numFmtId="202" formatCode="0.000000%"/>
    <numFmt numFmtId="203" formatCode="_(* #,##0.0_);_(* \(#,##0.0\);_(* &quot;-&quot;?_);_(@_)"/>
    <numFmt numFmtId="204" formatCode="_(* #,##0.0000_);_(* \(#,##0.0000\);_(* &quot;-&quot;????_);_(@_)"/>
    <numFmt numFmtId="205" formatCode="0.00000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SWISS"/>
      <family val="0"/>
    </font>
    <font>
      <sz val="8"/>
      <name val="SWISS"/>
      <family val="0"/>
    </font>
    <font>
      <b/>
      <sz val="22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4"/>
      <name val="Arial"/>
      <family val="2"/>
    </font>
    <font>
      <i/>
      <sz val="15"/>
      <name val="Arial"/>
      <family val="2"/>
    </font>
    <font>
      <sz val="15"/>
      <color indexed="12"/>
      <name val="Arial"/>
      <family val="2"/>
    </font>
    <font>
      <u val="single"/>
      <sz val="15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i/>
      <sz val="12"/>
      <name val="Arial"/>
      <family val="2"/>
    </font>
    <font>
      <u val="double"/>
      <sz val="15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Small Fonts"/>
      <family val="0"/>
    </font>
    <font>
      <b/>
      <u val="single"/>
      <sz val="18"/>
      <name val="Albertus MT Lt"/>
      <family val="1"/>
    </font>
    <font>
      <b/>
      <u val="single"/>
      <sz val="20"/>
      <name val="Albertus MT Lt"/>
      <family val="1"/>
    </font>
    <font>
      <b/>
      <sz val="14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24" fillId="0" borderId="0">
      <alignment/>
      <protection/>
    </xf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4" fillId="0" borderId="0" xfId="22" applyFont="1">
      <alignment/>
      <protection/>
    </xf>
    <xf numFmtId="37" fontId="4" fillId="0" borderId="0" xfId="22" applyFont="1" applyAlignment="1">
      <alignment horizontal="center"/>
      <protection/>
    </xf>
    <xf numFmtId="37" fontId="11" fillId="0" borderId="0" xfId="22" applyFont="1" applyAlignment="1">
      <alignment horizontal="left"/>
      <protection/>
    </xf>
    <xf numFmtId="37" fontId="11" fillId="0" borderId="0" xfId="22" applyFont="1">
      <alignment/>
      <protection/>
    </xf>
    <xf numFmtId="37" fontId="4" fillId="0" borderId="1" xfId="22" applyFont="1" applyBorder="1">
      <alignment/>
      <protection/>
    </xf>
    <xf numFmtId="37" fontId="12" fillId="0" borderId="0" xfId="22" applyFont="1">
      <alignment/>
      <protection/>
    </xf>
    <xf numFmtId="37" fontId="13" fillId="0" borderId="0" xfId="22" applyFont="1">
      <alignment/>
      <protection/>
    </xf>
    <xf numFmtId="37" fontId="14" fillId="0" borderId="0" xfId="22" applyFont="1">
      <alignment/>
      <protection/>
    </xf>
    <xf numFmtId="37" fontId="15" fillId="0" borderId="0" xfId="22" applyFont="1" applyAlignment="1">
      <alignment horizontal="right"/>
      <protection/>
    </xf>
    <xf numFmtId="37" fontId="16" fillId="0" borderId="0" xfId="22" applyFont="1" applyFill="1">
      <alignment/>
      <protection/>
    </xf>
    <xf numFmtId="37" fontId="16" fillId="0" borderId="0" xfId="22" applyNumberFormat="1" applyFont="1" applyFill="1" applyProtection="1">
      <alignment/>
      <protection/>
    </xf>
    <xf numFmtId="37" fontId="17" fillId="0" borderId="0" xfId="22" applyFont="1">
      <alignment/>
      <protection/>
    </xf>
    <xf numFmtId="37" fontId="13" fillId="0" borderId="0" xfId="22" applyFont="1" applyProtection="1">
      <alignment/>
      <protection locked="0"/>
    </xf>
    <xf numFmtId="5" fontId="13" fillId="0" borderId="0" xfId="22" applyNumberFormat="1" applyFont="1" applyProtection="1">
      <alignment/>
      <protection locked="0"/>
    </xf>
    <xf numFmtId="37" fontId="18" fillId="0" borderId="0" xfId="22" applyFont="1">
      <alignment/>
      <protection/>
    </xf>
    <xf numFmtId="37" fontId="19" fillId="0" borderId="0" xfId="22" applyFont="1">
      <alignment/>
      <protection/>
    </xf>
    <xf numFmtId="5" fontId="13" fillId="0" borderId="0" xfId="22" applyNumberFormat="1" applyFont="1" applyProtection="1">
      <alignment/>
      <protection/>
    </xf>
    <xf numFmtId="10" fontId="13" fillId="0" borderId="0" xfId="22" applyNumberFormat="1" applyFont="1" applyProtection="1">
      <alignment/>
      <protection locked="0"/>
    </xf>
    <xf numFmtId="178" fontId="16" fillId="0" borderId="0" xfId="22" applyNumberFormat="1" applyFont="1" applyFill="1" applyProtection="1">
      <alignment/>
      <protection/>
    </xf>
    <xf numFmtId="10" fontId="16" fillId="0" borderId="0" xfId="22" applyNumberFormat="1" applyFont="1" applyProtection="1">
      <alignment/>
      <protection/>
    </xf>
    <xf numFmtId="5" fontId="16" fillId="0" borderId="0" xfId="22" applyNumberFormat="1" applyFont="1" applyFill="1" applyProtection="1">
      <alignment/>
      <protection/>
    </xf>
    <xf numFmtId="37" fontId="13" fillId="0" borderId="0" xfId="22" applyFont="1" applyAlignment="1">
      <alignment horizontal="right"/>
      <protection/>
    </xf>
    <xf numFmtId="37" fontId="20" fillId="0" borderId="0" xfId="22" applyFont="1">
      <alignment/>
      <protection/>
    </xf>
    <xf numFmtId="37" fontId="13" fillId="0" borderId="0" xfId="22" applyNumberFormat="1" applyFont="1" applyProtection="1">
      <alignment/>
      <protection/>
    </xf>
    <xf numFmtId="37" fontId="13" fillId="0" borderId="1" xfId="22" applyFont="1" applyBorder="1">
      <alignment/>
      <protection/>
    </xf>
    <xf numFmtId="5" fontId="13" fillId="0" borderId="1" xfId="22" applyNumberFormat="1" applyFont="1" applyBorder="1" applyProtection="1">
      <alignment/>
      <protection locked="0"/>
    </xf>
    <xf numFmtId="37" fontId="14" fillId="0" borderId="1" xfId="22" applyFont="1" applyBorder="1">
      <alignment/>
      <protection/>
    </xf>
    <xf numFmtId="37" fontId="16" fillId="0" borderId="0" xfId="22" applyFont="1" applyFill="1" applyAlignment="1">
      <alignment horizontal="right"/>
      <protection/>
    </xf>
    <xf numFmtId="7" fontId="13" fillId="0" borderId="1" xfId="22" applyNumberFormat="1" applyFont="1" applyBorder="1" applyProtection="1">
      <alignment/>
      <protection/>
    </xf>
    <xf numFmtId="10" fontId="13" fillId="0" borderId="0" xfId="22" applyNumberFormat="1" applyFont="1" applyProtection="1">
      <alignment/>
      <protection/>
    </xf>
    <xf numFmtId="5" fontId="16" fillId="0" borderId="0" xfId="22" applyNumberFormat="1" applyFont="1" applyFill="1" applyProtection="1">
      <alignment/>
      <protection locked="0"/>
    </xf>
    <xf numFmtId="37" fontId="12" fillId="2" borderId="0" xfId="22" applyFont="1" applyFill="1">
      <alignment/>
      <protection/>
    </xf>
    <xf numFmtId="37" fontId="13" fillId="2" borderId="0" xfId="22" applyFont="1" applyFill="1">
      <alignment/>
      <protection/>
    </xf>
    <xf numFmtId="37" fontId="13" fillId="0" borderId="2" xfId="22" applyFont="1" applyBorder="1" applyAlignment="1">
      <alignment horizontal="center"/>
      <protection/>
    </xf>
    <xf numFmtId="10" fontId="16" fillId="0" borderId="0" xfId="22" applyNumberFormat="1" applyFont="1" applyFill="1" applyProtection="1">
      <alignment/>
      <protection locked="0"/>
    </xf>
    <xf numFmtId="37" fontId="16" fillId="0" borderId="0" xfId="22" applyFont="1">
      <alignment/>
      <protection/>
    </xf>
    <xf numFmtId="37" fontId="16" fillId="0" borderId="0" xfId="22" applyFont="1" applyFill="1" applyProtection="1">
      <alignment/>
      <protection locked="0"/>
    </xf>
    <xf numFmtId="37" fontId="13" fillId="0" borderId="0" xfId="22" applyFont="1" applyAlignment="1">
      <alignment horizontal="center"/>
      <protection/>
    </xf>
    <xf numFmtId="9" fontId="13" fillId="0" borderId="0" xfId="22" applyNumberFormat="1" applyFont="1" applyProtection="1">
      <alignment/>
      <protection/>
    </xf>
    <xf numFmtId="7" fontId="16" fillId="0" borderId="0" xfId="22" applyNumberFormat="1" applyFont="1" applyFill="1" applyProtection="1">
      <alignment/>
      <protection/>
    </xf>
    <xf numFmtId="7" fontId="13" fillId="0" borderId="0" xfId="22" applyNumberFormat="1" applyFont="1" applyProtection="1">
      <alignment/>
      <protection/>
    </xf>
    <xf numFmtId="7" fontId="16" fillId="0" borderId="0" xfId="22" applyNumberFormat="1" applyFont="1" applyProtection="1">
      <alignment/>
      <protection/>
    </xf>
    <xf numFmtId="39" fontId="13" fillId="0" borderId="0" xfId="22" applyNumberFormat="1" applyFont="1" applyProtection="1">
      <alignment/>
      <protection/>
    </xf>
    <xf numFmtId="179" fontId="16" fillId="0" borderId="0" xfId="22" applyNumberFormat="1" applyFont="1" applyProtection="1">
      <alignment/>
      <protection/>
    </xf>
    <xf numFmtId="177" fontId="16" fillId="0" borderId="0" xfId="22" applyNumberFormat="1" applyFont="1" applyProtection="1">
      <alignment/>
      <protection/>
    </xf>
    <xf numFmtId="179" fontId="13" fillId="0" borderId="0" xfId="22" applyNumberFormat="1" applyFont="1" applyFill="1" applyProtection="1">
      <alignment/>
      <protection/>
    </xf>
    <xf numFmtId="7" fontId="16" fillId="0" borderId="2" xfId="22" applyNumberFormat="1" applyFont="1" applyBorder="1" applyProtection="1">
      <alignment/>
      <protection/>
    </xf>
    <xf numFmtId="7" fontId="16" fillId="0" borderId="2" xfId="22" applyNumberFormat="1" applyFont="1" applyFill="1" applyBorder="1" applyProtection="1">
      <alignment/>
      <protection/>
    </xf>
    <xf numFmtId="7" fontId="13" fillId="0" borderId="2" xfId="22" applyNumberFormat="1" applyFont="1" applyBorder="1" applyProtection="1">
      <alignment/>
      <protection/>
    </xf>
    <xf numFmtId="37" fontId="16" fillId="0" borderId="0" xfId="22" applyFont="1" applyProtection="1">
      <alignment/>
      <protection locked="0"/>
    </xf>
    <xf numFmtId="7" fontId="13" fillId="0" borderId="3" xfId="22" applyNumberFormat="1" applyFont="1" applyBorder="1" applyProtection="1">
      <alignment/>
      <protection/>
    </xf>
    <xf numFmtId="179" fontId="16" fillId="0" borderId="0" xfId="22" applyNumberFormat="1" applyFont="1" applyAlignment="1" applyProtection="1">
      <alignment horizontal="right"/>
      <protection/>
    </xf>
    <xf numFmtId="179" fontId="13" fillId="0" borderId="0" xfId="22" applyNumberFormat="1" applyFont="1" applyProtection="1">
      <alignment/>
      <protection/>
    </xf>
    <xf numFmtId="37" fontId="16" fillId="0" borderId="0" xfId="22" applyFont="1" applyAlignment="1">
      <alignment horizontal="right"/>
      <protection/>
    </xf>
    <xf numFmtId="5" fontId="16" fillId="0" borderId="0" xfId="22" applyNumberFormat="1" applyFont="1" applyProtection="1">
      <alignment/>
      <protection/>
    </xf>
    <xf numFmtId="172" fontId="16" fillId="0" borderId="0" xfId="15" applyNumberFormat="1" applyFont="1" applyAlignment="1" applyProtection="1">
      <alignment/>
      <protection/>
    </xf>
    <xf numFmtId="7" fontId="13" fillId="0" borderId="0" xfId="22" applyNumberFormat="1" applyFont="1" applyAlignment="1" applyProtection="1">
      <alignment/>
      <protection/>
    </xf>
    <xf numFmtId="37" fontId="10" fillId="0" borderId="0" xfId="22" applyFont="1" applyAlignment="1">
      <alignment/>
      <protection/>
    </xf>
    <xf numFmtId="37" fontId="11" fillId="0" borderId="0" xfId="22" applyFont="1" applyAlignment="1">
      <alignment horizontal="centerContinuous"/>
      <protection/>
    </xf>
    <xf numFmtId="37" fontId="13" fillId="0" borderId="0" xfId="22" applyFont="1" applyFill="1">
      <alignment/>
      <protection/>
    </xf>
    <xf numFmtId="39" fontId="13" fillId="0" borderId="0" xfId="22" applyNumberFormat="1" applyFont="1" applyFill="1" applyProtection="1">
      <alignment/>
      <protection/>
    </xf>
    <xf numFmtId="179" fontId="16" fillId="0" borderId="0" xfId="22" applyNumberFormat="1" applyFont="1" applyFill="1" applyAlignment="1" applyProtection="1">
      <alignment horizontal="center"/>
      <protection/>
    </xf>
    <xf numFmtId="179" fontId="13" fillId="0" borderId="0" xfId="22" applyNumberFormat="1" applyFont="1" applyAlignment="1" applyProtection="1">
      <alignment horizontal="center"/>
      <protection/>
    </xf>
    <xf numFmtId="7" fontId="16" fillId="0" borderId="0" xfId="22" applyNumberFormat="1" applyFont="1" applyProtection="1">
      <alignment/>
      <protection locked="0"/>
    </xf>
    <xf numFmtId="37" fontId="13" fillId="0" borderId="2" xfId="22" applyFont="1" applyBorder="1">
      <alignment/>
      <protection/>
    </xf>
    <xf numFmtId="37" fontId="13" fillId="0" borderId="2" xfId="22" applyFont="1" applyBorder="1" applyProtection="1">
      <alignment/>
      <protection locked="0"/>
    </xf>
    <xf numFmtId="39" fontId="13" fillId="0" borderId="2" xfId="22" applyNumberFormat="1" applyFont="1" applyBorder="1" applyProtection="1">
      <alignment/>
      <protection/>
    </xf>
    <xf numFmtId="37" fontId="13" fillId="0" borderId="2" xfId="22" applyFont="1" applyFill="1" applyBorder="1">
      <alignment/>
      <protection/>
    </xf>
    <xf numFmtId="37" fontId="21" fillId="0" borderId="0" xfId="22" applyFont="1">
      <alignment/>
      <protection/>
    </xf>
    <xf numFmtId="5" fontId="13" fillId="0" borderId="3" xfId="22" applyNumberFormat="1" applyFont="1" applyBorder="1" applyProtection="1">
      <alignment/>
      <protection locked="0"/>
    </xf>
    <xf numFmtId="39" fontId="13" fillId="0" borderId="3" xfId="22" applyNumberFormat="1" applyFont="1" applyBorder="1" applyProtection="1">
      <alignment/>
      <protection/>
    </xf>
    <xf numFmtId="37" fontId="13" fillId="0" borderId="2" xfId="22" applyNumberFormat="1" applyFont="1" applyBorder="1" applyProtection="1">
      <alignment/>
      <protection locked="0"/>
    </xf>
    <xf numFmtId="39" fontId="13" fillId="0" borderId="2" xfId="22" applyNumberFormat="1" applyFont="1" applyBorder="1" applyProtection="1">
      <alignment/>
      <protection locked="0"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0" fontId="1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4" fillId="0" borderId="4" xfId="0" applyFont="1" applyBorder="1" applyAlignment="1">
      <alignment horizontal="right"/>
    </xf>
    <xf numFmtId="0" fontId="14" fillId="0" borderId="0" xfId="0" applyFont="1" applyAlignment="1">
      <alignment horizontal="right"/>
    </xf>
    <xf numFmtId="37" fontId="10" fillId="0" borderId="0" xfId="22" applyFont="1" applyAlignment="1">
      <alignment horizontal="center"/>
      <protection/>
    </xf>
    <xf numFmtId="37" fontId="8" fillId="0" borderId="0" xfId="22" applyFont="1" applyAlignment="1">
      <alignment horizontal="center"/>
      <protection/>
    </xf>
    <xf numFmtId="37" fontId="9" fillId="0" borderId="0" xfId="22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 dec" xfId="21"/>
    <cellStyle name="Normal_Kevin Arl Land Bay A - EPA Combined 600k -spec at 3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L%20Drive%20replace\Jack\1PY%20Strategies\Feb%2004%20set\Kevins%20Arlington%20Land%20Bay%20A%20-%20EPA%20Combined%20600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C.Notes.Data\Wells%20Fargo%20Matri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c.notes.data\Commercial\Commercial%20Proformas\Pro%20formas\Retail\Altamonte%20Springs%20Retail%20-%20Publix%20Comparison10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Earnings from Operations"/>
      <sheetName val="Sale"/>
      <sheetName val="Deprec&amp;Taxes"/>
      <sheetName val="Construction"/>
      <sheetName val="Argus File"/>
      <sheetName val="IRR Calculation"/>
      <sheetName val="Loan Amort."/>
      <sheetName val="Fact Summ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veraged"/>
      <sheetName val="Unleverag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ct Summary"/>
      <sheetName val="Sensitivity Analysis"/>
      <sheetName val="Summary"/>
      <sheetName val="Assumptions"/>
      <sheetName val="Earnings from Operations"/>
      <sheetName val="Sale"/>
      <sheetName val="Deprec&amp;Taxes"/>
      <sheetName val="Argus File"/>
      <sheetName val="Construction"/>
      <sheetName val="IRR Calculation"/>
      <sheetName val="Loan Amort."/>
      <sheetName val="Preferred Return"/>
      <sheetName val="Land Alloc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="150" zoomScaleNormal="150" workbookViewId="0" topLeftCell="C1">
      <selection activeCell="I1" sqref="I1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15.421875" style="0" bestFit="1" customWidth="1"/>
    <col min="4" max="4" width="26.00390625" style="0" customWidth="1"/>
    <col min="5" max="5" width="16.28125" style="0" customWidth="1"/>
    <col min="6" max="6" width="6.8515625" style="0" customWidth="1"/>
    <col min="7" max="7" width="14.28125" style="0" customWidth="1"/>
    <col min="8" max="8" width="7.421875" style="0" customWidth="1"/>
    <col min="9" max="9" width="14.421875" style="0" customWidth="1"/>
    <col min="10" max="10" width="11.421875" style="0" hidden="1" customWidth="1"/>
    <col min="11" max="11" width="4.00390625" style="0" customWidth="1"/>
    <col min="12" max="12" width="12.8515625" style="0" bestFit="1" customWidth="1"/>
    <col min="13" max="14" width="10.421875" style="0" customWidth="1"/>
  </cols>
  <sheetData>
    <row r="1" ht="27.75" customHeight="1">
      <c r="D1" s="90" t="s">
        <v>58</v>
      </c>
    </row>
    <row r="2" ht="15" customHeight="1">
      <c r="D2" s="89"/>
    </row>
    <row r="3" spans="1:15" ht="15">
      <c r="A3" s="3"/>
      <c r="B3" s="4"/>
      <c r="C3" s="4"/>
      <c r="D3" s="3"/>
      <c r="E3" s="3"/>
      <c r="F3" s="3"/>
      <c r="G3" s="3"/>
      <c r="H3" s="3"/>
      <c r="I3" s="87">
        <f ca="1">NOW()</f>
        <v>41006.62421296296</v>
      </c>
      <c r="J3" s="3"/>
      <c r="K3" s="3"/>
      <c r="L3" s="3"/>
      <c r="O3" t="s">
        <v>57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O4" s="1">
        <f>+E8/I8</f>
        <v>0.4987401600206478</v>
      </c>
    </row>
    <row r="5" spans="2:9" s="88" customFormat="1" ht="16.5">
      <c r="B5" s="91" t="s">
        <v>63</v>
      </c>
      <c r="E5" s="92" t="s">
        <v>71</v>
      </c>
      <c r="F5" s="93"/>
      <c r="G5" s="92" t="s">
        <v>72</v>
      </c>
      <c r="H5" s="93"/>
      <c r="I5" s="92" t="s">
        <v>73</v>
      </c>
    </row>
    <row r="6" spans="1:12" ht="15">
      <c r="A6" s="3"/>
      <c r="B6" s="3"/>
      <c r="C6" s="79" t="s">
        <v>64</v>
      </c>
      <c r="D6" s="3"/>
      <c r="E6" s="3">
        <v>1.0019</v>
      </c>
      <c r="F6" s="3"/>
      <c r="G6" s="3">
        <v>0.8556</v>
      </c>
      <c r="H6" s="3"/>
      <c r="I6" s="3">
        <f>+G6+E6</f>
        <v>1.8575</v>
      </c>
      <c r="J6" s="3"/>
      <c r="K6" s="3"/>
      <c r="L6" s="3"/>
    </row>
    <row r="7" spans="1:12" ht="15">
      <c r="A7" s="3"/>
      <c r="B7" s="3"/>
      <c r="C7" s="79" t="s">
        <v>65</v>
      </c>
      <c r="D7" s="3"/>
      <c r="E7" s="80">
        <v>332682</v>
      </c>
      <c r="F7" s="80"/>
      <c r="G7" s="80">
        <v>326746</v>
      </c>
      <c r="H7" s="80"/>
      <c r="I7" s="80">
        <f>E7+G7</f>
        <v>659428</v>
      </c>
      <c r="J7" s="3"/>
      <c r="K7" s="3"/>
      <c r="L7" s="3"/>
    </row>
    <row r="8" spans="1:12" ht="15">
      <c r="A8" s="3"/>
      <c r="B8" s="3"/>
      <c r="C8" s="79" t="s">
        <v>66</v>
      </c>
      <c r="D8" s="3"/>
      <c r="E8" s="80">
        <v>309179</v>
      </c>
      <c r="F8" s="80"/>
      <c r="G8" s="80">
        <v>310741</v>
      </c>
      <c r="H8" s="80"/>
      <c r="I8" s="80">
        <f>E8+G8</f>
        <v>619920</v>
      </c>
      <c r="J8" s="3"/>
      <c r="K8" s="3"/>
      <c r="L8" s="3"/>
    </row>
    <row r="9" spans="1:12" ht="15">
      <c r="A9" s="3"/>
      <c r="B9" s="3"/>
      <c r="C9" s="79" t="s">
        <v>69</v>
      </c>
      <c r="D9" s="3"/>
      <c r="E9" s="80">
        <v>309179</v>
      </c>
      <c r="F9" s="80"/>
      <c r="G9" s="80">
        <v>95908</v>
      </c>
      <c r="H9" s="80"/>
      <c r="I9" s="80">
        <f>E9+G9</f>
        <v>405087</v>
      </c>
      <c r="J9" s="3"/>
      <c r="K9" s="3"/>
      <c r="L9" s="3"/>
    </row>
    <row r="10" spans="1:12" ht="15">
      <c r="A10" s="3"/>
      <c r="B10" s="3"/>
      <c r="C10" s="79" t="s">
        <v>68</v>
      </c>
      <c r="D10" s="3"/>
      <c r="E10" s="80">
        <f>E8-E9</f>
        <v>0</v>
      </c>
      <c r="F10" s="80"/>
      <c r="G10" s="80">
        <f>G8-G9</f>
        <v>214833</v>
      </c>
      <c r="H10" s="80"/>
      <c r="I10" s="80">
        <f>E10+G10</f>
        <v>214833</v>
      </c>
      <c r="J10" s="3"/>
      <c r="K10" s="3"/>
      <c r="L10" s="3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9" s="88" customFormat="1" ht="16.5">
      <c r="B13" s="91" t="s">
        <v>70</v>
      </c>
      <c r="E13" s="92" t="s">
        <v>71</v>
      </c>
      <c r="F13" s="93"/>
      <c r="G13" s="92" t="s">
        <v>72</v>
      </c>
      <c r="H13" s="93"/>
      <c r="I13" s="92" t="s">
        <v>73</v>
      </c>
    </row>
    <row r="14" spans="1:12" ht="15">
      <c r="A14" s="3"/>
      <c r="B14" s="3"/>
      <c r="C14" s="3" t="s">
        <v>24</v>
      </c>
      <c r="D14" s="3"/>
      <c r="E14" s="80">
        <f aca="true" t="shared" si="0" ref="E14:E25">+$O$4*I14</f>
        <v>721610.1803684346</v>
      </c>
      <c r="F14" s="3"/>
      <c r="G14" s="80">
        <f aca="true" t="shared" si="1" ref="G14:G25">+I14-E14</f>
        <v>725255.8196315654</v>
      </c>
      <c r="H14" s="80"/>
      <c r="I14" s="80">
        <v>1446866</v>
      </c>
      <c r="J14" s="80"/>
      <c r="K14" s="3"/>
      <c r="L14" s="3"/>
    </row>
    <row r="15" spans="1:12" ht="15">
      <c r="A15" s="3"/>
      <c r="B15" s="3"/>
      <c r="C15" s="3" t="s">
        <v>26</v>
      </c>
      <c r="D15" s="3"/>
      <c r="E15" s="80">
        <f t="shared" si="0"/>
        <v>366438.85903181054</v>
      </c>
      <c r="F15" s="3"/>
      <c r="G15" s="80">
        <f t="shared" si="1"/>
        <v>368290.14096818946</v>
      </c>
      <c r="H15" s="80"/>
      <c r="I15" s="80">
        <v>734729</v>
      </c>
      <c r="J15" s="80"/>
      <c r="K15" s="3"/>
      <c r="L15" s="3"/>
    </row>
    <row r="16" spans="1:12" ht="15">
      <c r="A16" s="3"/>
      <c r="B16" s="3"/>
      <c r="C16" s="3" t="s">
        <v>61</v>
      </c>
      <c r="D16" s="3"/>
      <c r="E16" s="80">
        <f t="shared" si="0"/>
        <v>45892806.21627468</v>
      </c>
      <c r="F16" s="3"/>
      <c r="G16" s="80">
        <f t="shared" si="1"/>
        <v>46124660.78372532</v>
      </c>
      <c r="H16" s="80"/>
      <c r="I16" s="80">
        <v>92017467</v>
      </c>
      <c r="J16" s="80"/>
      <c r="K16" s="3"/>
      <c r="L16" s="3"/>
    </row>
    <row r="17" spans="1:12" ht="15">
      <c r="A17" s="3"/>
      <c r="B17" s="3"/>
      <c r="C17" s="3" t="s">
        <v>31</v>
      </c>
      <c r="D17" s="3"/>
      <c r="E17" s="80">
        <f t="shared" si="0"/>
        <v>1397307.3390856883</v>
      </c>
      <c r="F17" s="3"/>
      <c r="G17" s="80">
        <f t="shared" si="1"/>
        <v>1404366.6609143117</v>
      </c>
      <c r="H17" s="80"/>
      <c r="I17" s="80">
        <v>2801674</v>
      </c>
      <c r="J17" s="80"/>
      <c r="K17" s="3"/>
      <c r="L17" s="3"/>
    </row>
    <row r="18" spans="1:12" ht="15">
      <c r="A18" s="3"/>
      <c r="B18" s="3"/>
      <c r="C18" s="3" t="s">
        <v>33</v>
      </c>
      <c r="D18" s="3"/>
      <c r="E18" s="80">
        <f t="shared" si="0"/>
        <v>204483.4656084656</v>
      </c>
      <c r="F18" s="3"/>
      <c r="G18" s="80">
        <f t="shared" si="1"/>
        <v>205516.5343915344</v>
      </c>
      <c r="H18" s="80"/>
      <c r="I18" s="80">
        <v>410000</v>
      </c>
      <c r="J18" s="80"/>
      <c r="K18" s="3"/>
      <c r="L18" s="3"/>
    </row>
    <row r="19" spans="1:12" ht="15">
      <c r="A19" s="3"/>
      <c r="B19" s="3"/>
      <c r="C19" s="3" t="s">
        <v>35</v>
      </c>
      <c r="D19" s="3"/>
      <c r="E19" s="80">
        <f t="shared" si="0"/>
        <v>1561056.7008646277</v>
      </c>
      <c r="F19" s="3"/>
      <c r="G19" s="80">
        <f t="shared" si="1"/>
        <v>1568943.2991353723</v>
      </c>
      <c r="H19" s="80"/>
      <c r="I19" s="80">
        <v>3130000</v>
      </c>
      <c r="J19" s="80"/>
      <c r="K19" s="3"/>
      <c r="L19" s="3"/>
    </row>
    <row r="20" spans="1:12" ht="15">
      <c r="A20" s="3"/>
      <c r="B20" s="3"/>
      <c r="C20" s="3" t="s">
        <v>37</v>
      </c>
      <c r="D20" s="3"/>
      <c r="E20" s="80">
        <f t="shared" si="0"/>
        <v>61843.779842560325</v>
      </c>
      <c r="F20" s="3"/>
      <c r="G20" s="80">
        <f t="shared" si="1"/>
        <v>62156.220157439675</v>
      </c>
      <c r="H20" s="80"/>
      <c r="I20" s="80">
        <v>124000</v>
      </c>
      <c r="J20" s="80"/>
      <c r="K20" s="3"/>
      <c r="L20" s="3"/>
    </row>
    <row r="21" spans="1:12" ht="15">
      <c r="A21" s="3"/>
      <c r="B21" s="3"/>
      <c r="C21" s="3" t="s">
        <v>39</v>
      </c>
      <c r="D21" s="3"/>
      <c r="E21" s="80">
        <f t="shared" si="0"/>
        <v>529034.634820622</v>
      </c>
      <c r="F21" s="3"/>
      <c r="G21" s="80">
        <f t="shared" si="1"/>
        <v>531707.365179378</v>
      </c>
      <c r="H21" s="80"/>
      <c r="I21" s="80">
        <v>1060742</v>
      </c>
      <c r="J21" s="80"/>
      <c r="K21" s="3"/>
      <c r="L21" s="3"/>
    </row>
    <row r="22" spans="1:12" ht="15">
      <c r="A22" s="3"/>
      <c r="B22" s="3"/>
      <c r="C22" s="3" t="s">
        <v>41</v>
      </c>
      <c r="D22" s="3"/>
      <c r="E22" s="80">
        <f t="shared" si="0"/>
        <v>68979.75405213576</v>
      </c>
      <c r="F22" s="3"/>
      <c r="G22" s="80">
        <f t="shared" si="1"/>
        <v>69328.24594786424</v>
      </c>
      <c r="H22" s="80"/>
      <c r="I22" s="80">
        <v>138308</v>
      </c>
      <c r="J22" s="80"/>
      <c r="K22" s="3"/>
      <c r="L22" s="3"/>
    </row>
    <row r="23" spans="1:12" ht="15">
      <c r="A23" s="3"/>
      <c r="B23" s="3"/>
      <c r="C23" s="3" t="s">
        <v>42</v>
      </c>
      <c r="D23" s="3"/>
      <c r="E23" s="80">
        <f t="shared" si="0"/>
        <v>149622.04800619435</v>
      </c>
      <c r="F23" s="3"/>
      <c r="G23" s="80">
        <f t="shared" si="1"/>
        <v>150377.95199380565</v>
      </c>
      <c r="H23" s="80"/>
      <c r="I23" s="80">
        <v>300000</v>
      </c>
      <c r="J23" s="80"/>
      <c r="K23" s="3"/>
      <c r="L23" s="3"/>
    </row>
    <row r="24" spans="1:12" ht="15">
      <c r="A24" s="3"/>
      <c r="B24" s="3"/>
      <c r="C24" s="3" t="s">
        <v>43</v>
      </c>
      <c r="D24" s="3"/>
      <c r="E24" s="80">
        <f t="shared" si="0"/>
        <v>274307.0880113563</v>
      </c>
      <c r="F24" s="3"/>
      <c r="G24" s="80">
        <f t="shared" si="1"/>
        <v>275692.9119886437</v>
      </c>
      <c r="H24" s="80"/>
      <c r="I24" s="80">
        <v>550000</v>
      </c>
      <c r="J24" s="80"/>
      <c r="K24" s="3"/>
      <c r="L24" s="3"/>
    </row>
    <row r="25" spans="1:12" ht="15">
      <c r="A25" s="3"/>
      <c r="B25" s="3"/>
      <c r="C25" s="3" t="s">
        <v>44</v>
      </c>
      <c r="D25" s="3"/>
      <c r="E25" s="83">
        <f t="shared" si="0"/>
        <v>11168762.026947929</v>
      </c>
      <c r="F25" s="3"/>
      <c r="G25" s="83">
        <f t="shared" si="1"/>
        <v>11225187.613052072</v>
      </c>
      <c r="H25" s="80"/>
      <c r="I25" s="83">
        <v>22393949.64</v>
      </c>
      <c r="J25" s="80"/>
      <c r="K25" s="3"/>
      <c r="L25" s="3"/>
    </row>
    <row r="26" spans="1:12" ht="15">
      <c r="A26" s="3"/>
      <c r="B26" s="3"/>
      <c r="C26" s="3"/>
      <c r="D26" s="3" t="s">
        <v>46</v>
      </c>
      <c r="E26" s="80">
        <f>SUM(E14:E25)</f>
        <v>62396252.0929145</v>
      </c>
      <c r="F26" s="3"/>
      <c r="G26" s="80">
        <f>SUM(G14:G25)</f>
        <v>62711483.5470855</v>
      </c>
      <c r="H26" s="80"/>
      <c r="I26" s="80">
        <f>SUM(I14:I25)</f>
        <v>125107735.64</v>
      </c>
      <c r="J26" s="80"/>
      <c r="K26" s="3"/>
      <c r="L26" s="3"/>
    </row>
    <row r="27" spans="1:12" ht="15">
      <c r="A27" s="3"/>
      <c r="B27" s="3"/>
      <c r="C27" s="3"/>
      <c r="D27" s="3"/>
      <c r="E27" s="80"/>
      <c r="F27" s="3"/>
      <c r="G27" s="80"/>
      <c r="H27" s="80"/>
      <c r="I27" s="80"/>
      <c r="J27" s="80"/>
      <c r="K27" s="3"/>
      <c r="L27" s="3"/>
    </row>
    <row r="28" spans="1:12" ht="15">
      <c r="A28" s="3"/>
      <c r="B28" s="3"/>
      <c r="C28" s="3" t="s">
        <v>18</v>
      </c>
      <c r="D28" s="3"/>
      <c r="E28" s="80"/>
      <c r="F28" s="3"/>
      <c r="G28" s="80"/>
      <c r="H28" s="80"/>
      <c r="I28" s="80"/>
      <c r="J28" s="80"/>
      <c r="K28" s="3"/>
      <c r="L28" s="3"/>
    </row>
    <row r="29" spans="1:12" ht="15">
      <c r="A29" s="3"/>
      <c r="B29" s="3"/>
      <c r="C29" s="3" t="s">
        <v>22</v>
      </c>
      <c r="D29" s="3"/>
      <c r="E29" s="80">
        <f aca="true" t="shared" si="2" ref="E29:E37">+$O$4*I29</f>
        <v>2846388.89418312</v>
      </c>
      <c r="F29" s="3"/>
      <c r="G29" s="80">
        <f aca="true" t="shared" si="3" ref="G29:G37">+I29-E29</f>
        <v>2860769.10581688</v>
      </c>
      <c r="H29" s="80"/>
      <c r="I29" s="80">
        <v>5707158</v>
      </c>
      <c r="J29" s="80"/>
      <c r="K29" s="3"/>
      <c r="L29" s="3"/>
    </row>
    <row r="30" spans="1:12" ht="15">
      <c r="A30" s="3"/>
      <c r="B30" s="3"/>
      <c r="C30" s="3" t="s">
        <v>23</v>
      </c>
      <c r="D30" s="3"/>
      <c r="E30" s="80">
        <f t="shared" si="2"/>
        <v>266532.2276567944</v>
      </c>
      <c r="F30" s="3"/>
      <c r="G30" s="80">
        <f t="shared" si="3"/>
        <v>267878.7723432056</v>
      </c>
      <c r="H30" s="80"/>
      <c r="I30" s="80">
        <v>534411</v>
      </c>
      <c r="J30" s="80"/>
      <c r="K30" s="3"/>
      <c r="L30" s="3"/>
    </row>
    <row r="31" spans="1:12" ht="15">
      <c r="A31" s="3"/>
      <c r="B31" s="3"/>
      <c r="C31" s="3" t="s">
        <v>25</v>
      </c>
      <c r="D31" s="3"/>
      <c r="E31" s="80">
        <f t="shared" si="2"/>
        <v>623425.2000258098</v>
      </c>
      <c r="F31" s="3"/>
      <c r="G31" s="80">
        <f t="shared" si="3"/>
        <v>626574.7999741902</v>
      </c>
      <c r="H31" s="80"/>
      <c r="I31" s="80">
        <v>1250000</v>
      </c>
      <c r="J31" s="80"/>
      <c r="K31" s="3"/>
      <c r="L31" s="3"/>
    </row>
    <row r="32" spans="1:12" ht="15">
      <c r="A32" s="3"/>
      <c r="B32" s="3"/>
      <c r="C32" s="3" t="s">
        <v>27</v>
      </c>
      <c r="D32" s="3"/>
      <c r="E32" s="80">
        <f t="shared" si="2"/>
        <v>730224.9191524712</v>
      </c>
      <c r="F32" s="3"/>
      <c r="G32" s="80">
        <f t="shared" si="3"/>
        <v>733914.0808475288</v>
      </c>
      <c r="H32" s="80"/>
      <c r="I32" s="80">
        <v>1464139</v>
      </c>
      <c r="J32" s="80"/>
      <c r="K32" s="3"/>
      <c r="L32" s="3"/>
    </row>
    <row r="33" spans="1:12" ht="15">
      <c r="A33" s="3"/>
      <c r="B33" s="3"/>
      <c r="C33" s="3" t="s">
        <v>28</v>
      </c>
      <c r="D33" s="3"/>
      <c r="E33" s="80">
        <f t="shared" si="2"/>
        <v>1737786.2740482641</v>
      </c>
      <c r="F33" s="3"/>
      <c r="G33" s="80">
        <f t="shared" si="3"/>
        <v>1746565.7259517359</v>
      </c>
      <c r="H33" s="80"/>
      <c r="I33" s="80">
        <v>3484352</v>
      </c>
      <c r="J33" s="80"/>
      <c r="K33" s="3"/>
      <c r="L33" s="3"/>
    </row>
    <row r="34" spans="1:12" ht="15">
      <c r="A34" s="3"/>
      <c r="B34" s="3"/>
      <c r="C34" s="3" t="s">
        <v>32</v>
      </c>
      <c r="D34" s="3"/>
      <c r="E34" s="80">
        <f t="shared" si="2"/>
        <v>180045.19776745385</v>
      </c>
      <c r="F34" s="3"/>
      <c r="G34" s="80">
        <f t="shared" si="3"/>
        <v>180954.80223254615</v>
      </c>
      <c r="H34" s="80"/>
      <c r="I34" s="80">
        <v>361000</v>
      </c>
      <c r="J34" s="80"/>
      <c r="K34" s="3"/>
      <c r="L34" s="3"/>
    </row>
    <row r="35" spans="1:12" ht="15">
      <c r="A35" s="3"/>
      <c r="B35" s="3"/>
      <c r="C35" s="3" t="s">
        <v>34</v>
      </c>
      <c r="D35" s="3"/>
      <c r="E35" s="80">
        <f t="shared" si="2"/>
        <v>1994960.6400825912</v>
      </c>
      <c r="F35" s="3"/>
      <c r="G35" s="80">
        <f t="shared" si="3"/>
        <v>2005039.3599174088</v>
      </c>
      <c r="H35" s="80"/>
      <c r="I35" s="80">
        <v>4000000</v>
      </c>
      <c r="J35" s="80"/>
      <c r="K35" s="3"/>
      <c r="L35" s="3"/>
    </row>
    <row r="36" spans="1:12" ht="15">
      <c r="A36" s="3"/>
      <c r="B36" s="3"/>
      <c r="C36" s="3" t="s">
        <v>36</v>
      </c>
      <c r="D36" s="3"/>
      <c r="E36" s="80">
        <f t="shared" si="2"/>
        <v>119238.79745773648</v>
      </c>
      <c r="F36" s="3"/>
      <c r="G36" s="80">
        <f t="shared" si="3"/>
        <v>119841.20254226352</v>
      </c>
      <c r="H36" s="80"/>
      <c r="I36" s="80">
        <v>239080</v>
      </c>
      <c r="J36" s="80"/>
      <c r="K36" s="3"/>
      <c r="L36" s="3"/>
    </row>
    <row r="37" spans="1:12" ht="15">
      <c r="A37" s="3"/>
      <c r="B37" s="3"/>
      <c r="C37" s="3" t="s">
        <v>40</v>
      </c>
      <c r="D37" s="3"/>
      <c r="E37" s="83">
        <f t="shared" si="2"/>
        <v>149014.08375112916</v>
      </c>
      <c r="F37" s="3"/>
      <c r="G37" s="83">
        <f t="shared" si="3"/>
        <v>149766.91624887084</v>
      </c>
      <c r="H37" s="80"/>
      <c r="I37" s="83">
        <v>298781</v>
      </c>
      <c r="J37" s="80"/>
      <c r="K37" s="3"/>
      <c r="L37" s="3"/>
    </row>
    <row r="38" spans="1:12" ht="15">
      <c r="A38" s="3"/>
      <c r="B38" s="3"/>
      <c r="C38" s="3"/>
      <c r="D38" s="3" t="s">
        <v>45</v>
      </c>
      <c r="E38" s="80">
        <f>SUM(E29:E37)</f>
        <v>8647616.23412537</v>
      </c>
      <c r="F38" s="3"/>
      <c r="G38" s="80">
        <f>SUM(G29:G37)</f>
        <v>8691304.76587463</v>
      </c>
      <c r="H38" s="80"/>
      <c r="I38" s="80">
        <f>SUM(I29:I37)</f>
        <v>17338921</v>
      </c>
      <c r="J38" s="80"/>
      <c r="K38" s="3"/>
      <c r="L38" s="3"/>
    </row>
    <row r="39" spans="1:12" ht="15.75" thickBot="1">
      <c r="A39" s="3"/>
      <c r="B39" s="3"/>
      <c r="C39" s="3"/>
      <c r="D39" s="3"/>
      <c r="E39" s="84"/>
      <c r="F39" s="3"/>
      <c r="G39" s="84"/>
      <c r="H39" s="80"/>
      <c r="I39" s="84"/>
      <c r="J39" s="80"/>
      <c r="K39" s="3"/>
      <c r="L39" s="3"/>
    </row>
    <row r="40" spans="1:12" ht="15.75" thickTop="1">
      <c r="A40" s="3"/>
      <c r="B40" s="3"/>
      <c r="C40" s="3" t="s">
        <v>47</v>
      </c>
      <c r="D40" s="3"/>
      <c r="E40" s="80">
        <f>+E38+E26</f>
        <v>71043868.32703987</v>
      </c>
      <c r="F40" s="3"/>
      <c r="G40" s="80">
        <f>+G38+G26</f>
        <v>71402788.31296013</v>
      </c>
      <c r="H40" s="80"/>
      <c r="I40" s="80">
        <f>+I38+I26</f>
        <v>142446656.64</v>
      </c>
      <c r="J40" s="80"/>
      <c r="K40" s="3"/>
      <c r="L40" s="3"/>
    </row>
    <row r="41" spans="1:12" ht="15">
      <c r="A41" s="3"/>
      <c r="B41" s="3"/>
      <c r="C41" s="3" t="s">
        <v>60</v>
      </c>
      <c r="D41" s="3"/>
      <c r="J41" s="3"/>
      <c r="K41" s="3"/>
      <c r="L41" s="3"/>
    </row>
    <row r="42" spans="1:12" ht="15">
      <c r="A42" s="3"/>
      <c r="B42" s="3"/>
      <c r="C42" s="3"/>
      <c r="D42" s="3"/>
      <c r="J42" s="3"/>
      <c r="K42" s="3"/>
      <c r="L42" s="3"/>
    </row>
    <row r="43" spans="2:9" s="88" customFormat="1" ht="16.5">
      <c r="B43" s="91" t="s">
        <v>56</v>
      </c>
      <c r="E43" s="92" t="s">
        <v>71</v>
      </c>
      <c r="F43" s="93"/>
      <c r="G43" s="92" t="s">
        <v>72</v>
      </c>
      <c r="H43" s="93"/>
      <c r="I43" s="92" t="s">
        <v>73</v>
      </c>
    </row>
    <row r="44" spans="1:12" ht="15">
      <c r="A44" s="3"/>
      <c r="B44" s="3" t="s">
        <v>74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C45" s="3" t="s">
        <v>67</v>
      </c>
      <c r="D45" s="3"/>
      <c r="E45" s="80">
        <v>9919892.6</v>
      </c>
      <c r="F45" s="80"/>
      <c r="G45" s="80">
        <v>3140750</v>
      </c>
      <c r="H45" s="80"/>
      <c r="I45" s="80">
        <f>E45+G45</f>
        <v>13060642.6</v>
      </c>
      <c r="J45" s="3"/>
      <c r="K45" s="3"/>
      <c r="L45" s="3"/>
    </row>
    <row r="46" spans="1:12" ht="15">
      <c r="A46" s="3"/>
      <c r="B46" s="3"/>
      <c r="C46" s="3" t="s">
        <v>80</v>
      </c>
      <c r="D46" s="81">
        <v>33</v>
      </c>
      <c r="E46" s="80">
        <f>E10*D46</f>
        <v>0</v>
      </c>
      <c r="F46" s="80"/>
      <c r="G46" s="80">
        <f>+G10*D46</f>
        <v>7089489</v>
      </c>
      <c r="H46" s="80"/>
      <c r="I46" s="80">
        <f>E46+G46</f>
        <v>7089489</v>
      </c>
      <c r="J46" s="3"/>
      <c r="K46" s="3"/>
      <c r="L46" s="3"/>
    </row>
    <row r="47" spans="1:12" ht="15">
      <c r="A47" s="3"/>
      <c r="B47" s="3"/>
      <c r="C47" s="3" t="s">
        <v>77</v>
      </c>
      <c r="D47" s="78"/>
      <c r="E47" s="83">
        <f>454*60*12</f>
        <v>326880</v>
      </c>
      <c r="F47" s="80"/>
      <c r="G47" s="83">
        <f>443*60*12</f>
        <v>318960</v>
      </c>
      <c r="H47" s="80"/>
      <c r="I47" s="83">
        <f>E47+G47</f>
        <v>645840</v>
      </c>
      <c r="J47" s="3"/>
      <c r="K47" s="3"/>
      <c r="L47" s="3"/>
    </row>
    <row r="48" spans="1:12" ht="15">
      <c r="A48" s="3"/>
      <c r="B48" s="3"/>
      <c r="C48" s="3" t="s">
        <v>73</v>
      </c>
      <c r="D48" s="80"/>
      <c r="E48" s="85">
        <f>E45+E46+E47</f>
        <v>10246772.6</v>
      </c>
      <c r="F48" s="85"/>
      <c r="G48" s="85">
        <f>+G45+G46+G47</f>
        <v>10549199</v>
      </c>
      <c r="H48" s="85"/>
      <c r="I48" s="85">
        <f>E48+G48</f>
        <v>20795971.6</v>
      </c>
      <c r="J48" s="3"/>
      <c r="K48" s="3"/>
      <c r="L48" s="3"/>
    </row>
    <row r="49" spans="1:12" ht="15">
      <c r="A49" s="79"/>
      <c r="B49" s="3" t="s">
        <v>81</v>
      </c>
      <c r="C49" s="3"/>
      <c r="D49" s="78"/>
      <c r="E49" s="83">
        <v>0</v>
      </c>
      <c r="F49" s="85"/>
      <c r="G49" s="83">
        <v>-503737</v>
      </c>
      <c r="H49" s="86"/>
      <c r="I49" s="83">
        <v>503737</v>
      </c>
      <c r="J49" s="3"/>
      <c r="K49" s="3"/>
      <c r="L49" s="3"/>
    </row>
    <row r="50" spans="1:12" ht="15">
      <c r="A50" s="79"/>
      <c r="B50" s="3" t="s">
        <v>75</v>
      </c>
      <c r="C50" s="3"/>
      <c r="D50" s="3"/>
      <c r="E50" s="80">
        <f>+E48-E49</f>
        <v>10246772.6</v>
      </c>
      <c r="F50" s="80"/>
      <c r="G50" s="80">
        <f>+G49+G48</f>
        <v>10045462</v>
      </c>
      <c r="H50" s="80"/>
      <c r="I50" s="80">
        <f>E50+G50</f>
        <v>20292234.6</v>
      </c>
      <c r="J50" s="3"/>
      <c r="K50" s="3"/>
      <c r="L50" s="3"/>
    </row>
    <row r="51" spans="1:12" ht="15">
      <c r="A51" s="79"/>
      <c r="B51" s="3" t="s">
        <v>76</v>
      </c>
      <c r="C51" s="3"/>
      <c r="D51" s="82">
        <v>10.2</v>
      </c>
      <c r="E51" s="80">
        <f>I51*(E8/I8)</f>
        <v>-3148053.874932249</v>
      </c>
      <c r="F51" s="80"/>
      <c r="G51" s="80">
        <f>I51*(G8/I8)</f>
        <v>-3163958.125067751</v>
      </c>
      <c r="H51" s="80"/>
      <c r="I51" s="80">
        <v>-6312012</v>
      </c>
      <c r="J51" s="80">
        <f>+E51+G51</f>
        <v>-6312012</v>
      </c>
      <c r="K51" s="3"/>
      <c r="L51" s="3"/>
    </row>
    <row r="52" spans="1:12" ht="15.75" thickBot="1">
      <c r="A52" s="3"/>
      <c r="B52" s="3"/>
      <c r="C52" s="3"/>
      <c r="D52" s="3"/>
      <c r="E52" s="84"/>
      <c r="F52" s="80"/>
      <c r="G52" s="84"/>
      <c r="H52" s="80"/>
      <c r="I52" s="84"/>
      <c r="J52" s="3"/>
      <c r="K52" s="3"/>
      <c r="L52" s="3"/>
    </row>
    <row r="53" spans="1:12" ht="15.75" thickTop="1">
      <c r="A53" s="3"/>
      <c r="B53" s="3" t="s">
        <v>79</v>
      </c>
      <c r="C53" s="3"/>
      <c r="D53" s="3"/>
      <c r="E53" s="80">
        <f>+E51+E50</f>
        <v>7098718.725067751</v>
      </c>
      <c r="F53" s="80"/>
      <c r="G53" s="80">
        <f>+G50+G51</f>
        <v>6881503.874932249</v>
      </c>
      <c r="H53" s="80"/>
      <c r="I53" s="80">
        <f>+I51+I50</f>
        <v>13980222.600000001</v>
      </c>
      <c r="J53" s="80">
        <f>I50-I51</f>
        <v>26604246.6</v>
      </c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 t="s">
        <v>78</v>
      </c>
      <c r="C55" s="3"/>
      <c r="D55" s="3"/>
      <c r="E55" s="78">
        <f>+E53/E40</f>
        <v>0.09992021679323339</v>
      </c>
      <c r="F55" s="78"/>
      <c r="G55" s="78">
        <f>+G53/G40</f>
        <v>0.09637584242187368</v>
      </c>
      <c r="H55" s="78"/>
      <c r="I55" s="78">
        <f>+I53/I40</f>
        <v>0.09814356426301872</v>
      </c>
      <c r="J55" s="3"/>
      <c r="K55" s="3"/>
      <c r="L55" s="3"/>
    </row>
    <row r="56" spans="2:10" ht="15">
      <c r="B56" s="3" t="s">
        <v>60</v>
      </c>
      <c r="J56" s="2"/>
    </row>
    <row r="58" ht="27.75">
      <c r="D58" s="90" t="s">
        <v>62</v>
      </c>
    </row>
    <row r="59" ht="24.75">
      <c r="D59" s="89"/>
    </row>
    <row r="60" spans="1:12" ht="15">
      <c r="A60" s="3"/>
      <c r="B60" s="4"/>
      <c r="C60" s="4"/>
      <c r="D60" s="3"/>
      <c r="E60" s="3"/>
      <c r="F60" s="3"/>
      <c r="G60" s="3"/>
      <c r="H60" s="3"/>
      <c r="I60" s="87">
        <f ca="1">NOW()</f>
        <v>41006.62421296296</v>
      </c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6.5">
      <c r="A62" s="88"/>
      <c r="B62" s="91" t="s">
        <v>63</v>
      </c>
      <c r="C62" s="88"/>
      <c r="D62" s="88"/>
      <c r="F62" s="93"/>
      <c r="G62" s="92" t="s">
        <v>71</v>
      </c>
      <c r="J62" s="88"/>
      <c r="K62" s="88"/>
      <c r="L62" s="88"/>
    </row>
    <row r="63" spans="1:12" ht="15">
      <c r="A63" s="3"/>
      <c r="B63" s="3"/>
      <c r="C63" s="79" t="s">
        <v>64</v>
      </c>
      <c r="D63" s="3"/>
      <c r="F63" s="3"/>
      <c r="G63" s="3">
        <v>1.0019</v>
      </c>
      <c r="J63" s="3"/>
      <c r="K63" s="3"/>
      <c r="L63" s="3"/>
    </row>
    <row r="64" spans="1:12" ht="15">
      <c r="A64" s="3"/>
      <c r="B64" s="3"/>
      <c r="C64" s="79" t="s">
        <v>65</v>
      </c>
      <c r="D64" s="3"/>
      <c r="F64" s="80"/>
      <c r="G64" s="80">
        <v>332682</v>
      </c>
      <c r="J64" s="3"/>
      <c r="K64" s="3"/>
      <c r="L64" s="3"/>
    </row>
    <row r="65" spans="1:12" ht="15">
      <c r="A65" s="3"/>
      <c r="B65" s="3"/>
      <c r="C65" s="79" t="s">
        <v>66</v>
      </c>
      <c r="D65" s="3"/>
      <c r="F65" s="80"/>
      <c r="G65" s="80">
        <v>309179</v>
      </c>
      <c r="J65" s="3"/>
      <c r="K65" s="3"/>
      <c r="L65" s="3"/>
    </row>
    <row r="66" spans="1:12" ht="15">
      <c r="A66" s="3"/>
      <c r="B66" s="3"/>
      <c r="C66" s="79" t="s">
        <v>69</v>
      </c>
      <c r="D66" s="3"/>
      <c r="F66" s="80"/>
      <c r="G66" s="80">
        <v>309179</v>
      </c>
      <c r="J66" s="3"/>
      <c r="K66" s="3"/>
      <c r="L66" s="3"/>
    </row>
    <row r="67" spans="1:12" ht="15">
      <c r="A67" s="3"/>
      <c r="B67" s="3"/>
      <c r="C67" s="79" t="s">
        <v>68</v>
      </c>
      <c r="D67" s="3"/>
      <c r="F67" s="80"/>
      <c r="G67" s="80">
        <v>0</v>
      </c>
      <c r="J67" s="3"/>
      <c r="K67" s="3"/>
      <c r="L67" s="3"/>
    </row>
    <row r="68" spans="1:12" ht="15">
      <c r="A68" s="3"/>
      <c r="B68" s="3"/>
      <c r="C68" s="3"/>
      <c r="D68" s="3"/>
      <c r="F68" s="3"/>
      <c r="G68" s="3"/>
      <c r="J68" s="3"/>
      <c r="K68" s="3"/>
      <c r="L68" s="3"/>
    </row>
    <row r="69" spans="1:12" ht="15">
      <c r="A69" s="3"/>
      <c r="B69" s="3"/>
      <c r="C69" s="3"/>
      <c r="D69" s="3"/>
      <c r="F69" s="3"/>
      <c r="G69" s="3"/>
      <c r="J69" s="3"/>
      <c r="K69" s="3"/>
      <c r="L69" s="3"/>
    </row>
    <row r="70" spans="1:12" ht="16.5">
      <c r="A70" s="88"/>
      <c r="B70" s="91" t="s">
        <v>70</v>
      </c>
      <c r="C70" s="88"/>
      <c r="D70" s="88"/>
      <c r="F70" s="93"/>
      <c r="G70" s="92" t="s">
        <v>71</v>
      </c>
      <c r="J70" s="88"/>
      <c r="K70" s="88"/>
      <c r="L70" s="88"/>
    </row>
    <row r="71" spans="1:12" ht="15">
      <c r="A71" s="3"/>
      <c r="B71" s="3"/>
      <c r="C71" s="3" t="s">
        <v>24</v>
      </c>
      <c r="D71" s="3"/>
      <c r="F71" s="3"/>
      <c r="G71" s="80">
        <v>721610.1803684346</v>
      </c>
      <c r="J71" s="80"/>
      <c r="K71" s="3"/>
      <c r="L71" s="3"/>
    </row>
    <row r="72" spans="1:12" ht="15">
      <c r="A72" s="3"/>
      <c r="B72" s="3"/>
      <c r="C72" s="3" t="s">
        <v>26</v>
      </c>
      <c r="D72" s="3"/>
      <c r="F72" s="3"/>
      <c r="G72" s="80">
        <v>366438.85903181054</v>
      </c>
      <c r="J72" s="80"/>
      <c r="K72" s="3"/>
      <c r="L72" s="3"/>
    </row>
    <row r="73" spans="1:12" ht="15">
      <c r="A73" s="3"/>
      <c r="B73" s="3"/>
      <c r="C73" s="3" t="s">
        <v>61</v>
      </c>
      <c r="D73" s="3"/>
      <c r="F73" s="3"/>
      <c r="G73" s="80">
        <v>45892806.21627468</v>
      </c>
      <c r="J73" s="80"/>
      <c r="K73" s="3"/>
      <c r="L73" s="3"/>
    </row>
    <row r="74" spans="1:12" ht="15">
      <c r="A74" s="3"/>
      <c r="B74" s="3"/>
      <c r="C74" s="3" t="s">
        <v>31</v>
      </c>
      <c r="D74" s="3"/>
      <c r="F74" s="3"/>
      <c r="G74" s="80">
        <v>1397307.3390856883</v>
      </c>
      <c r="J74" s="80"/>
      <c r="K74" s="3"/>
      <c r="L74" s="3"/>
    </row>
    <row r="75" spans="1:12" ht="15">
      <c r="A75" s="3"/>
      <c r="B75" s="3"/>
      <c r="C75" s="3" t="s">
        <v>33</v>
      </c>
      <c r="D75" s="3"/>
      <c r="F75" s="3"/>
      <c r="G75" s="80">
        <v>204483.4656084656</v>
      </c>
      <c r="J75" s="80"/>
      <c r="K75" s="3"/>
      <c r="L75" s="3"/>
    </row>
    <row r="76" spans="1:12" ht="15">
      <c r="A76" s="3"/>
      <c r="B76" s="3"/>
      <c r="C76" s="3" t="s">
        <v>35</v>
      </c>
      <c r="D76" s="3"/>
      <c r="F76" s="3"/>
      <c r="G76" s="80">
        <v>1561056.7008646277</v>
      </c>
      <c r="J76" s="80"/>
      <c r="K76" s="3"/>
      <c r="L76" s="3"/>
    </row>
    <row r="77" spans="1:12" ht="15">
      <c r="A77" s="3"/>
      <c r="B77" s="3"/>
      <c r="C77" s="3" t="s">
        <v>37</v>
      </c>
      <c r="D77" s="3"/>
      <c r="F77" s="3"/>
      <c r="G77" s="80">
        <v>61843.779842560325</v>
      </c>
      <c r="J77" s="80"/>
      <c r="K77" s="3"/>
      <c r="L77" s="3"/>
    </row>
    <row r="78" spans="1:12" ht="15">
      <c r="A78" s="3"/>
      <c r="B78" s="3"/>
      <c r="C78" s="3" t="s">
        <v>39</v>
      </c>
      <c r="D78" s="3"/>
      <c r="F78" s="3"/>
      <c r="G78" s="80">
        <v>529034.634820622</v>
      </c>
      <c r="J78" s="80"/>
      <c r="K78" s="3"/>
      <c r="L78" s="3"/>
    </row>
    <row r="79" spans="1:12" ht="15">
      <c r="A79" s="3"/>
      <c r="B79" s="3"/>
      <c r="C79" s="3" t="s">
        <v>41</v>
      </c>
      <c r="D79" s="3"/>
      <c r="F79" s="3"/>
      <c r="G79" s="80">
        <v>68979.75405213576</v>
      </c>
      <c r="J79" s="80"/>
      <c r="K79" s="3"/>
      <c r="L79" s="3"/>
    </row>
    <row r="80" spans="1:12" ht="15">
      <c r="A80" s="3"/>
      <c r="B80" s="3"/>
      <c r="C80" s="3" t="s">
        <v>42</v>
      </c>
      <c r="D80" s="3"/>
      <c r="F80" s="3"/>
      <c r="G80" s="80">
        <v>149622.04800619435</v>
      </c>
      <c r="J80" s="80"/>
      <c r="K80" s="3"/>
      <c r="L80" s="3"/>
    </row>
    <row r="81" spans="1:12" ht="15">
      <c r="A81" s="3"/>
      <c r="B81" s="3"/>
      <c r="C81" s="3" t="s">
        <v>43</v>
      </c>
      <c r="D81" s="3"/>
      <c r="F81" s="3"/>
      <c r="G81" s="80">
        <v>274307.0880113563</v>
      </c>
      <c r="J81" s="80"/>
      <c r="K81" s="3"/>
      <c r="L81" s="3"/>
    </row>
    <row r="82" spans="1:12" ht="15">
      <c r="A82" s="3"/>
      <c r="B82" s="3"/>
      <c r="C82" s="3" t="s">
        <v>44</v>
      </c>
      <c r="D82" s="3"/>
      <c r="F82" s="3"/>
      <c r="G82" s="83">
        <v>11168762.026947929</v>
      </c>
      <c r="J82" s="80"/>
      <c r="K82" s="3"/>
      <c r="L82" s="3"/>
    </row>
    <row r="83" spans="1:12" ht="15">
      <c r="A83" s="3"/>
      <c r="B83" s="3"/>
      <c r="C83" s="3"/>
      <c r="D83" s="3" t="s">
        <v>46</v>
      </c>
      <c r="F83" s="3"/>
      <c r="G83" s="80">
        <v>62396252.0929145</v>
      </c>
      <c r="J83" s="80"/>
      <c r="K83" s="3"/>
      <c r="L83" s="3"/>
    </row>
    <row r="84" spans="1:12" ht="15">
      <c r="A84" s="3"/>
      <c r="B84" s="3"/>
      <c r="C84" s="3"/>
      <c r="D84" s="3"/>
      <c r="F84" s="3"/>
      <c r="G84" s="80"/>
      <c r="J84" s="80"/>
      <c r="K84" s="3"/>
      <c r="L84" s="3"/>
    </row>
    <row r="85" spans="1:12" ht="15">
      <c r="A85" s="3"/>
      <c r="B85" s="3"/>
      <c r="C85" s="3" t="s">
        <v>18</v>
      </c>
      <c r="D85" s="3"/>
      <c r="F85" s="3"/>
      <c r="G85" s="80"/>
      <c r="J85" s="80"/>
      <c r="K85" s="3"/>
      <c r="L85" s="3"/>
    </row>
    <row r="86" spans="1:12" ht="15">
      <c r="A86" s="3"/>
      <c r="B86" s="3"/>
      <c r="C86" s="3" t="s">
        <v>22</v>
      </c>
      <c r="D86" s="3"/>
      <c r="F86" s="3"/>
      <c r="G86" s="80">
        <v>2846388.89418312</v>
      </c>
      <c r="J86" s="80"/>
      <c r="K86" s="3"/>
      <c r="L86" s="3"/>
    </row>
    <row r="87" spans="1:12" ht="15">
      <c r="A87" s="3"/>
      <c r="B87" s="3"/>
      <c r="C87" s="3" t="s">
        <v>23</v>
      </c>
      <c r="D87" s="3"/>
      <c r="F87" s="3"/>
      <c r="G87" s="80">
        <v>266532.2276567944</v>
      </c>
      <c r="J87" s="80"/>
      <c r="K87" s="3"/>
      <c r="L87" s="3"/>
    </row>
    <row r="88" spans="1:12" ht="15">
      <c r="A88" s="3"/>
      <c r="B88" s="3"/>
      <c r="C88" s="3" t="s">
        <v>25</v>
      </c>
      <c r="D88" s="3"/>
      <c r="F88" s="3"/>
      <c r="G88" s="80">
        <v>623425.2000258098</v>
      </c>
      <c r="J88" s="80"/>
      <c r="K88" s="3"/>
      <c r="L88" s="3"/>
    </row>
    <row r="89" spans="1:12" ht="15">
      <c r="A89" s="3"/>
      <c r="B89" s="3"/>
      <c r="C89" s="3" t="s">
        <v>27</v>
      </c>
      <c r="D89" s="3"/>
      <c r="F89" s="3"/>
      <c r="G89" s="80">
        <v>730224.9191524712</v>
      </c>
      <c r="J89" s="80"/>
      <c r="K89" s="3"/>
      <c r="L89" s="3"/>
    </row>
    <row r="90" spans="1:12" ht="15">
      <c r="A90" s="3"/>
      <c r="B90" s="3"/>
      <c r="C90" s="3" t="s">
        <v>28</v>
      </c>
      <c r="D90" s="3"/>
      <c r="F90" s="3"/>
      <c r="G90" s="80">
        <v>1737786.2740482641</v>
      </c>
      <c r="J90" s="80"/>
      <c r="K90" s="3"/>
      <c r="L90" s="3"/>
    </row>
    <row r="91" spans="1:12" ht="15">
      <c r="A91" s="3"/>
      <c r="B91" s="3"/>
      <c r="C91" s="3" t="s">
        <v>32</v>
      </c>
      <c r="D91" s="3"/>
      <c r="F91" s="3"/>
      <c r="G91" s="80">
        <v>180045.19776745385</v>
      </c>
      <c r="J91" s="80"/>
      <c r="K91" s="3"/>
      <c r="L91" s="3"/>
    </row>
    <row r="92" spans="1:12" ht="15">
      <c r="A92" s="3"/>
      <c r="B92" s="3"/>
      <c r="C92" s="3" t="s">
        <v>34</v>
      </c>
      <c r="D92" s="3"/>
      <c r="F92" s="3"/>
      <c r="G92" s="80">
        <v>1994960.6400825912</v>
      </c>
      <c r="J92" s="80"/>
      <c r="K92" s="3"/>
      <c r="L92" s="3"/>
    </row>
    <row r="93" spans="1:12" ht="15">
      <c r="A93" s="3"/>
      <c r="B93" s="3"/>
      <c r="C93" s="3" t="s">
        <v>36</v>
      </c>
      <c r="D93" s="3"/>
      <c r="F93" s="3"/>
      <c r="G93" s="80">
        <v>119238.79745773648</v>
      </c>
      <c r="J93" s="80"/>
      <c r="K93" s="3"/>
      <c r="L93" s="3"/>
    </row>
    <row r="94" spans="1:12" ht="15">
      <c r="A94" s="3"/>
      <c r="B94" s="3"/>
      <c r="C94" s="3" t="s">
        <v>40</v>
      </c>
      <c r="D94" s="3"/>
      <c r="F94" s="3"/>
      <c r="G94" s="83">
        <v>149014.08375112916</v>
      </c>
      <c r="J94" s="80"/>
      <c r="K94" s="3"/>
      <c r="L94" s="3"/>
    </row>
    <row r="95" spans="1:12" ht="15">
      <c r="A95" s="3"/>
      <c r="B95" s="3"/>
      <c r="C95" s="3"/>
      <c r="D95" s="3" t="s">
        <v>45</v>
      </c>
      <c r="F95" s="3"/>
      <c r="G95" s="80">
        <v>8647616.23412537</v>
      </c>
      <c r="J95" s="80"/>
      <c r="K95" s="3"/>
      <c r="L95" s="3"/>
    </row>
    <row r="96" spans="1:12" ht="15.75" thickBot="1">
      <c r="A96" s="3"/>
      <c r="B96" s="3"/>
      <c r="C96" s="3"/>
      <c r="D96" s="3"/>
      <c r="F96" s="3"/>
      <c r="G96" s="84"/>
      <c r="J96" s="80"/>
      <c r="K96" s="3"/>
      <c r="L96" s="3"/>
    </row>
    <row r="97" spans="1:12" ht="15.75" thickTop="1">
      <c r="A97" s="3"/>
      <c r="B97" s="3"/>
      <c r="C97" s="3" t="s">
        <v>47</v>
      </c>
      <c r="D97" s="3"/>
      <c r="F97" s="3"/>
      <c r="G97" s="80">
        <v>71043868.32703987</v>
      </c>
      <c r="J97" s="80"/>
      <c r="K97" s="3"/>
      <c r="L97" s="3"/>
    </row>
    <row r="98" spans="1:12" ht="15">
      <c r="A98" s="3"/>
      <c r="B98" s="3"/>
      <c r="C98" s="3" t="s">
        <v>60</v>
      </c>
      <c r="D98" s="3"/>
      <c r="J98" s="3"/>
      <c r="K98" s="3"/>
      <c r="L98" s="3"/>
    </row>
    <row r="99" spans="1:12" ht="15">
      <c r="A99" s="3"/>
      <c r="B99" s="3"/>
      <c r="C99" s="3"/>
      <c r="D99" s="3"/>
      <c r="J99" s="3"/>
      <c r="K99" s="3"/>
      <c r="L99" s="3"/>
    </row>
    <row r="100" spans="1:12" ht="16.5">
      <c r="A100" s="88"/>
      <c r="B100" s="91" t="s">
        <v>56</v>
      </c>
      <c r="C100" s="88"/>
      <c r="D100" s="88"/>
      <c r="F100" s="93"/>
      <c r="G100" s="92" t="s">
        <v>71</v>
      </c>
      <c r="J100" s="88"/>
      <c r="K100" s="88"/>
      <c r="L100" s="88"/>
    </row>
    <row r="101" spans="1:12" ht="15">
      <c r="A101" s="3"/>
      <c r="B101" s="3" t="s">
        <v>74</v>
      </c>
      <c r="C101" s="3"/>
      <c r="D101" s="3"/>
      <c r="F101" s="3"/>
      <c r="G101" s="3"/>
      <c r="J101" s="3"/>
      <c r="K101" s="3"/>
      <c r="L101" s="3"/>
    </row>
    <row r="102" spans="1:12" ht="15">
      <c r="A102" s="3"/>
      <c r="B102" s="3"/>
      <c r="C102" s="3" t="s">
        <v>67</v>
      </c>
      <c r="D102" s="3"/>
      <c r="F102" s="80"/>
      <c r="G102" s="80">
        <v>9919892.6</v>
      </c>
      <c r="J102" s="3"/>
      <c r="K102" s="3"/>
      <c r="L102" s="3"/>
    </row>
    <row r="103" spans="1:12" ht="15">
      <c r="A103" s="3"/>
      <c r="B103" s="3"/>
      <c r="C103" s="3" t="s">
        <v>80</v>
      </c>
      <c r="D103" s="81">
        <v>33</v>
      </c>
      <c r="F103" s="80"/>
      <c r="G103" s="80">
        <v>0</v>
      </c>
      <c r="J103" s="3"/>
      <c r="K103" s="3"/>
      <c r="L103" s="3"/>
    </row>
    <row r="104" spans="1:12" ht="15">
      <c r="A104" s="3"/>
      <c r="B104" s="3"/>
      <c r="C104" s="3" t="s">
        <v>77</v>
      </c>
      <c r="D104" s="78"/>
      <c r="F104" s="80"/>
      <c r="G104" s="83">
        <v>326880</v>
      </c>
      <c r="J104" s="3"/>
      <c r="K104" s="3"/>
      <c r="L104" s="3"/>
    </row>
    <row r="105" spans="1:12" ht="15">
      <c r="A105" s="3"/>
      <c r="B105" s="3"/>
      <c r="C105" s="3" t="s">
        <v>73</v>
      </c>
      <c r="D105" s="80"/>
      <c r="F105" s="85"/>
      <c r="G105" s="85">
        <v>10246772.6</v>
      </c>
      <c r="J105" s="3"/>
      <c r="K105" s="3"/>
      <c r="L105" s="3"/>
    </row>
    <row r="106" spans="1:12" ht="15">
      <c r="A106" s="79"/>
      <c r="B106" s="3" t="s">
        <v>81</v>
      </c>
      <c r="C106" s="3"/>
      <c r="D106" s="78"/>
      <c r="F106" s="85"/>
      <c r="G106" s="83">
        <v>0</v>
      </c>
      <c r="J106" s="3"/>
      <c r="K106" s="3"/>
      <c r="L106" s="3"/>
    </row>
    <row r="107" spans="1:12" ht="15">
      <c r="A107" s="79"/>
      <c r="B107" s="3" t="s">
        <v>75</v>
      </c>
      <c r="C107" s="3"/>
      <c r="D107" s="3"/>
      <c r="F107" s="80"/>
      <c r="G107" s="80">
        <v>10246772.6</v>
      </c>
      <c r="J107" s="3"/>
      <c r="K107" s="3"/>
      <c r="L107" s="3"/>
    </row>
    <row r="108" spans="1:12" ht="15">
      <c r="A108" s="79"/>
      <c r="B108" s="3" t="s">
        <v>76</v>
      </c>
      <c r="C108" s="3"/>
      <c r="D108" s="82">
        <v>10.2</v>
      </c>
      <c r="F108" s="80"/>
      <c r="G108" s="80">
        <v>-3148053.874932249</v>
      </c>
      <c r="J108" s="80" t="e">
        <f>+G108+#REF!</f>
        <v>#REF!</v>
      </c>
      <c r="K108" s="3"/>
      <c r="L108" s="3"/>
    </row>
    <row r="109" spans="1:12" ht="15.75" thickBot="1">
      <c r="A109" s="3"/>
      <c r="B109" s="3"/>
      <c r="C109" s="3"/>
      <c r="D109" s="3"/>
      <c r="F109" s="80"/>
      <c r="G109" s="84"/>
      <c r="J109" s="3"/>
      <c r="K109" s="3"/>
      <c r="L109" s="3"/>
    </row>
    <row r="110" spans="1:12" ht="15.75" thickTop="1">
      <c r="A110" s="3"/>
      <c r="B110" s="3" t="s">
        <v>79</v>
      </c>
      <c r="C110" s="3"/>
      <c r="D110" s="3"/>
      <c r="F110" s="80"/>
      <c r="G110" s="80">
        <v>7098718.725067751</v>
      </c>
      <c r="J110" s="80">
        <f>I107-I108</f>
        <v>0</v>
      </c>
      <c r="K110" s="3"/>
      <c r="L110" s="3"/>
    </row>
    <row r="111" spans="1:12" ht="15">
      <c r="A111" s="3"/>
      <c r="B111" s="3"/>
      <c r="C111" s="3"/>
      <c r="D111" s="3"/>
      <c r="F111" s="3"/>
      <c r="G111" s="3"/>
      <c r="J111" s="3"/>
      <c r="K111" s="3"/>
      <c r="L111" s="3"/>
    </row>
    <row r="112" spans="1:12" ht="15">
      <c r="A112" s="3"/>
      <c r="B112" s="3" t="s">
        <v>78</v>
      </c>
      <c r="C112" s="3"/>
      <c r="D112" s="3"/>
      <c r="F112" s="78"/>
      <c r="G112" s="78">
        <v>0.09992021679323339</v>
      </c>
      <c r="J112" s="3"/>
      <c r="K112" s="3"/>
      <c r="L112" s="3"/>
    </row>
    <row r="113" spans="2:10" ht="15">
      <c r="B113" s="3" t="s">
        <v>60</v>
      </c>
      <c r="J113" s="2"/>
    </row>
    <row r="115" ht="27.75">
      <c r="D115" s="90" t="s">
        <v>59</v>
      </c>
    </row>
    <row r="116" ht="24.75">
      <c r="D116" s="89"/>
    </row>
    <row r="117" spans="1:12" ht="15">
      <c r="A117" s="3"/>
      <c r="B117" s="4"/>
      <c r="C117" s="4"/>
      <c r="D117" s="3"/>
      <c r="F117" s="3"/>
      <c r="G117" s="3"/>
      <c r="H117" s="3"/>
      <c r="I117" s="87">
        <f ca="1">NOW()</f>
        <v>41006.62421296296</v>
      </c>
      <c r="J117" s="3"/>
      <c r="K117" s="3"/>
      <c r="L117" s="3"/>
    </row>
    <row r="118" spans="1:12" ht="15">
      <c r="A118" s="3"/>
      <c r="B118" s="3"/>
      <c r="C118" s="3"/>
      <c r="D118" s="3"/>
      <c r="F118" s="3"/>
      <c r="G118" s="3"/>
      <c r="H118" s="3"/>
      <c r="I118" s="3"/>
      <c r="J118" s="3"/>
      <c r="K118" s="3"/>
      <c r="L118" s="3"/>
    </row>
    <row r="119" spans="1:12" ht="16.5">
      <c r="A119" s="88"/>
      <c r="B119" s="91" t="s">
        <v>63</v>
      </c>
      <c r="C119" s="88"/>
      <c r="D119" s="88"/>
      <c r="F119" s="93"/>
      <c r="G119" s="92" t="s">
        <v>72</v>
      </c>
      <c r="H119" s="93"/>
      <c r="J119" s="88"/>
      <c r="K119" s="88"/>
      <c r="L119" s="88"/>
    </row>
    <row r="120" spans="1:12" ht="15">
      <c r="A120" s="3"/>
      <c r="B120" s="3"/>
      <c r="C120" s="79" t="s">
        <v>64</v>
      </c>
      <c r="D120" s="3"/>
      <c r="F120" s="3"/>
      <c r="G120" s="3">
        <v>0.8556</v>
      </c>
      <c r="H120" s="3"/>
      <c r="J120" s="3"/>
      <c r="K120" s="3"/>
      <c r="L120" s="3"/>
    </row>
    <row r="121" spans="1:12" ht="15">
      <c r="A121" s="3"/>
      <c r="B121" s="3"/>
      <c r="C121" s="79" t="s">
        <v>65</v>
      </c>
      <c r="D121" s="3"/>
      <c r="F121" s="80"/>
      <c r="G121" s="80">
        <v>326746</v>
      </c>
      <c r="H121" s="80"/>
      <c r="J121" s="3"/>
      <c r="K121" s="3"/>
      <c r="L121" s="3"/>
    </row>
    <row r="122" spans="1:12" ht="15">
      <c r="A122" s="3"/>
      <c r="B122" s="3"/>
      <c r="C122" s="79" t="s">
        <v>66</v>
      </c>
      <c r="D122" s="3"/>
      <c r="F122" s="80"/>
      <c r="G122" s="80">
        <v>310741</v>
      </c>
      <c r="H122" s="80"/>
      <c r="J122" s="3"/>
      <c r="K122" s="3"/>
      <c r="L122" s="3"/>
    </row>
    <row r="123" spans="1:12" ht="15">
      <c r="A123" s="3"/>
      <c r="B123" s="3"/>
      <c r="C123" s="79" t="s">
        <v>69</v>
      </c>
      <c r="D123" s="3"/>
      <c r="F123" s="80"/>
      <c r="G123" s="80">
        <v>95908</v>
      </c>
      <c r="H123" s="80"/>
      <c r="J123" s="3"/>
      <c r="K123" s="3"/>
      <c r="L123" s="3"/>
    </row>
    <row r="124" spans="1:12" ht="15">
      <c r="A124" s="3"/>
      <c r="B124" s="3"/>
      <c r="C124" s="79" t="s">
        <v>68</v>
      </c>
      <c r="D124" s="3"/>
      <c r="F124" s="80"/>
      <c r="G124" s="80">
        <v>214833</v>
      </c>
      <c r="H124" s="80"/>
      <c r="J124" s="3"/>
      <c r="K124" s="3"/>
      <c r="L124" s="3"/>
    </row>
    <row r="125" spans="1:12" ht="15">
      <c r="A125" s="3"/>
      <c r="B125" s="3"/>
      <c r="C125" s="3"/>
      <c r="D125" s="3"/>
      <c r="F125" s="3"/>
      <c r="G125" s="3"/>
      <c r="H125" s="3"/>
      <c r="J125" s="3"/>
      <c r="K125" s="3"/>
      <c r="L125" s="3"/>
    </row>
    <row r="126" spans="1:12" ht="15">
      <c r="A126" s="3"/>
      <c r="B126" s="3"/>
      <c r="C126" s="3"/>
      <c r="D126" s="3"/>
      <c r="F126" s="3"/>
      <c r="G126" s="3"/>
      <c r="H126" s="3"/>
      <c r="J126" s="3"/>
      <c r="K126" s="3"/>
      <c r="L126" s="3"/>
    </row>
    <row r="127" spans="1:12" ht="16.5">
      <c r="A127" s="88"/>
      <c r="B127" s="91" t="s">
        <v>70</v>
      </c>
      <c r="C127" s="88"/>
      <c r="D127" s="88"/>
      <c r="F127" s="93"/>
      <c r="G127" s="92" t="s">
        <v>72</v>
      </c>
      <c r="H127" s="93"/>
      <c r="J127" s="88"/>
      <c r="K127" s="88"/>
      <c r="L127" s="88"/>
    </row>
    <row r="128" spans="1:12" ht="15">
      <c r="A128" s="3"/>
      <c r="B128" s="3"/>
      <c r="C128" s="3" t="s">
        <v>24</v>
      </c>
      <c r="D128" s="3"/>
      <c r="F128" s="3"/>
      <c r="G128" s="80">
        <v>725255.8196315654</v>
      </c>
      <c r="H128" s="80"/>
      <c r="J128" s="80"/>
      <c r="K128" s="3"/>
      <c r="L128" s="3"/>
    </row>
    <row r="129" spans="1:12" ht="15">
      <c r="A129" s="3"/>
      <c r="B129" s="3"/>
      <c r="C129" s="3" t="s">
        <v>26</v>
      </c>
      <c r="D129" s="3"/>
      <c r="F129" s="3"/>
      <c r="G129" s="80">
        <v>368290.14096818946</v>
      </c>
      <c r="H129" s="80"/>
      <c r="J129" s="80"/>
      <c r="K129" s="3"/>
      <c r="L129" s="3"/>
    </row>
    <row r="130" spans="1:12" ht="15">
      <c r="A130" s="3"/>
      <c r="B130" s="3"/>
      <c r="C130" s="3" t="s">
        <v>61</v>
      </c>
      <c r="D130" s="3"/>
      <c r="F130" s="3"/>
      <c r="G130" s="80">
        <v>46124660.78372532</v>
      </c>
      <c r="H130" s="80"/>
      <c r="J130" s="80"/>
      <c r="K130" s="3"/>
      <c r="L130" s="3"/>
    </row>
    <row r="131" spans="1:12" ht="15">
      <c r="A131" s="3"/>
      <c r="B131" s="3"/>
      <c r="C131" s="3" t="s">
        <v>31</v>
      </c>
      <c r="D131" s="3"/>
      <c r="F131" s="3"/>
      <c r="G131" s="80">
        <v>1404366.6609143117</v>
      </c>
      <c r="H131" s="80"/>
      <c r="J131" s="80"/>
      <c r="K131" s="3"/>
      <c r="L131" s="3"/>
    </row>
    <row r="132" spans="1:12" ht="15">
      <c r="A132" s="3"/>
      <c r="B132" s="3"/>
      <c r="C132" s="3" t="s">
        <v>33</v>
      </c>
      <c r="D132" s="3"/>
      <c r="F132" s="3"/>
      <c r="G132" s="80">
        <v>205516.5343915344</v>
      </c>
      <c r="H132" s="80"/>
      <c r="J132" s="80"/>
      <c r="K132" s="3"/>
      <c r="L132" s="3"/>
    </row>
    <row r="133" spans="1:12" ht="15">
      <c r="A133" s="3"/>
      <c r="B133" s="3"/>
      <c r="C133" s="3" t="s">
        <v>35</v>
      </c>
      <c r="D133" s="3"/>
      <c r="F133" s="3"/>
      <c r="G133" s="80">
        <v>1568943.2991353723</v>
      </c>
      <c r="H133" s="80"/>
      <c r="J133" s="80"/>
      <c r="K133" s="3"/>
      <c r="L133" s="3"/>
    </row>
    <row r="134" spans="1:12" ht="15">
      <c r="A134" s="3"/>
      <c r="B134" s="3"/>
      <c r="C134" s="3" t="s">
        <v>37</v>
      </c>
      <c r="D134" s="3"/>
      <c r="F134" s="3"/>
      <c r="G134" s="80">
        <v>62156.220157439675</v>
      </c>
      <c r="H134" s="80"/>
      <c r="J134" s="80"/>
      <c r="K134" s="3"/>
      <c r="L134" s="3"/>
    </row>
    <row r="135" spans="1:12" ht="15">
      <c r="A135" s="3"/>
      <c r="B135" s="3"/>
      <c r="C135" s="3" t="s">
        <v>39</v>
      </c>
      <c r="D135" s="3"/>
      <c r="F135" s="3"/>
      <c r="G135" s="80">
        <v>531707.365179378</v>
      </c>
      <c r="H135" s="80"/>
      <c r="J135" s="80"/>
      <c r="K135" s="3"/>
      <c r="L135" s="3"/>
    </row>
    <row r="136" spans="1:12" ht="15">
      <c r="A136" s="3"/>
      <c r="B136" s="3"/>
      <c r="C136" s="3" t="s">
        <v>41</v>
      </c>
      <c r="D136" s="3"/>
      <c r="F136" s="3"/>
      <c r="G136" s="80">
        <v>69328.24594786424</v>
      </c>
      <c r="H136" s="80"/>
      <c r="J136" s="80"/>
      <c r="K136" s="3"/>
      <c r="L136" s="3"/>
    </row>
    <row r="137" spans="1:12" ht="15">
      <c r="A137" s="3"/>
      <c r="B137" s="3"/>
      <c r="C137" s="3" t="s">
        <v>42</v>
      </c>
      <c r="D137" s="3"/>
      <c r="F137" s="3"/>
      <c r="G137" s="80">
        <v>150377.95199380565</v>
      </c>
      <c r="H137" s="80"/>
      <c r="J137" s="80"/>
      <c r="K137" s="3"/>
      <c r="L137" s="3"/>
    </row>
    <row r="138" spans="1:12" ht="15">
      <c r="A138" s="3"/>
      <c r="B138" s="3"/>
      <c r="C138" s="3" t="s">
        <v>43</v>
      </c>
      <c r="D138" s="3"/>
      <c r="F138" s="3"/>
      <c r="G138" s="80">
        <v>275692.9119886437</v>
      </c>
      <c r="H138" s="80"/>
      <c r="J138" s="80"/>
      <c r="K138" s="3"/>
      <c r="L138" s="3"/>
    </row>
    <row r="139" spans="1:12" ht="15">
      <c r="A139" s="3"/>
      <c r="B139" s="3"/>
      <c r="C139" s="3" t="s">
        <v>44</v>
      </c>
      <c r="D139" s="3"/>
      <c r="F139" s="3"/>
      <c r="G139" s="83">
        <v>11225187.613052072</v>
      </c>
      <c r="H139" s="80"/>
      <c r="J139" s="80"/>
      <c r="K139" s="3"/>
      <c r="L139" s="3"/>
    </row>
    <row r="140" spans="1:12" ht="15">
      <c r="A140" s="3"/>
      <c r="B140" s="3"/>
      <c r="C140" s="3"/>
      <c r="D140" s="3" t="s">
        <v>46</v>
      </c>
      <c r="F140" s="3"/>
      <c r="G140" s="80">
        <v>62711483.5470855</v>
      </c>
      <c r="H140" s="80"/>
      <c r="J140" s="80"/>
      <c r="K140" s="3"/>
      <c r="L140" s="3"/>
    </row>
    <row r="141" spans="1:12" ht="15">
      <c r="A141" s="3"/>
      <c r="B141" s="3"/>
      <c r="C141" s="3"/>
      <c r="D141" s="3"/>
      <c r="F141" s="3"/>
      <c r="G141" s="80"/>
      <c r="H141" s="80"/>
      <c r="J141" s="80"/>
      <c r="K141" s="3"/>
      <c r="L141" s="3"/>
    </row>
    <row r="142" spans="1:12" ht="15">
      <c r="A142" s="3"/>
      <c r="B142" s="3"/>
      <c r="C142" s="3" t="s">
        <v>18</v>
      </c>
      <c r="D142" s="3"/>
      <c r="F142" s="3"/>
      <c r="G142" s="80"/>
      <c r="H142" s="80"/>
      <c r="J142" s="80"/>
      <c r="K142" s="3"/>
      <c r="L142" s="3"/>
    </row>
    <row r="143" spans="1:12" ht="15">
      <c r="A143" s="3"/>
      <c r="B143" s="3"/>
      <c r="C143" s="3" t="s">
        <v>22</v>
      </c>
      <c r="D143" s="3"/>
      <c r="F143" s="3"/>
      <c r="G143" s="80">
        <v>2860769.10581688</v>
      </c>
      <c r="H143" s="80"/>
      <c r="J143" s="80"/>
      <c r="K143" s="3"/>
      <c r="L143" s="3"/>
    </row>
    <row r="144" spans="1:12" ht="15">
      <c r="A144" s="3"/>
      <c r="B144" s="3"/>
      <c r="C144" s="3" t="s">
        <v>23</v>
      </c>
      <c r="D144" s="3"/>
      <c r="F144" s="3"/>
      <c r="G144" s="80">
        <v>267878.7723432056</v>
      </c>
      <c r="H144" s="80"/>
      <c r="J144" s="80"/>
      <c r="K144" s="3"/>
      <c r="L144" s="3"/>
    </row>
    <row r="145" spans="1:12" ht="15">
      <c r="A145" s="3"/>
      <c r="B145" s="3"/>
      <c r="C145" s="3" t="s">
        <v>25</v>
      </c>
      <c r="D145" s="3"/>
      <c r="F145" s="3"/>
      <c r="G145" s="80">
        <v>626574.7999741902</v>
      </c>
      <c r="H145" s="80"/>
      <c r="J145" s="80"/>
      <c r="K145" s="3"/>
      <c r="L145" s="3"/>
    </row>
    <row r="146" spans="1:12" ht="15">
      <c r="A146" s="3"/>
      <c r="B146" s="3"/>
      <c r="C146" s="3" t="s">
        <v>27</v>
      </c>
      <c r="D146" s="3"/>
      <c r="F146" s="3"/>
      <c r="G146" s="80">
        <v>733914.0808475288</v>
      </c>
      <c r="H146" s="80"/>
      <c r="J146" s="80"/>
      <c r="K146" s="3"/>
      <c r="L146" s="3"/>
    </row>
    <row r="147" spans="1:12" ht="15">
      <c r="A147" s="3"/>
      <c r="B147" s="3"/>
      <c r="C147" s="3" t="s">
        <v>28</v>
      </c>
      <c r="D147" s="3"/>
      <c r="F147" s="3"/>
      <c r="G147" s="80">
        <v>1746565.7259517359</v>
      </c>
      <c r="H147" s="80"/>
      <c r="J147" s="80"/>
      <c r="K147" s="3"/>
      <c r="L147" s="3"/>
    </row>
    <row r="148" spans="1:12" ht="15">
      <c r="A148" s="3"/>
      <c r="B148" s="3"/>
      <c r="C148" s="3" t="s">
        <v>32</v>
      </c>
      <c r="D148" s="3"/>
      <c r="F148" s="3"/>
      <c r="G148" s="80">
        <v>180954.80223254615</v>
      </c>
      <c r="H148" s="80"/>
      <c r="J148" s="80"/>
      <c r="K148" s="3"/>
      <c r="L148" s="3"/>
    </row>
    <row r="149" spans="1:12" ht="15">
      <c r="A149" s="3"/>
      <c r="B149" s="3"/>
      <c r="C149" s="3" t="s">
        <v>34</v>
      </c>
      <c r="D149" s="3"/>
      <c r="F149" s="3"/>
      <c r="G149" s="80">
        <v>2005039.3599174088</v>
      </c>
      <c r="H149" s="80"/>
      <c r="J149" s="80"/>
      <c r="K149" s="3"/>
      <c r="L149" s="3"/>
    </row>
    <row r="150" spans="1:12" ht="15">
      <c r="A150" s="3"/>
      <c r="B150" s="3"/>
      <c r="C150" s="3" t="s">
        <v>36</v>
      </c>
      <c r="D150" s="3"/>
      <c r="F150" s="3"/>
      <c r="G150" s="80">
        <v>119841.20254226352</v>
      </c>
      <c r="H150" s="80"/>
      <c r="J150" s="80"/>
      <c r="K150" s="3"/>
      <c r="L150" s="3"/>
    </row>
    <row r="151" spans="1:12" ht="15">
      <c r="A151" s="3"/>
      <c r="B151" s="3"/>
      <c r="C151" s="3" t="s">
        <v>40</v>
      </c>
      <c r="D151" s="3"/>
      <c r="F151" s="3"/>
      <c r="G151" s="83">
        <v>149766.91624887084</v>
      </c>
      <c r="H151" s="80"/>
      <c r="J151" s="80"/>
      <c r="K151" s="3"/>
      <c r="L151" s="3"/>
    </row>
    <row r="152" spans="1:12" ht="15">
      <c r="A152" s="3"/>
      <c r="B152" s="3"/>
      <c r="C152" s="3"/>
      <c r="D152" s="3" t="s">
        <v>45</v>
      </c>
      <c r="F152" s="3"/>
      <c r="G152" s="80">
        <v>8691304.76587463</v>
      </c>
      <c r="H152" s="80"/>
      <c r="J152" s="80"/>
      <c r="K152" s="3"/>
      <c r="L152" s="3"/>
    </row>
    <row r="153" spans="1:12" ht="15.75" thickBot="1">
      <c r="A153" s="3"/>
      <c r="B153" s="3"/>
      <c r="C153" s="3"/>
      <c r="D153" s="3"/>
      <c r="F153" s="3"/>
      <c r="G153" s="84"/>
      <c r="H153" s="80"/>
      <c r="J153" s="80"/>
      <c r="K153" s="3"/>
      <c r="L153" s="3"/>
    </row>
    <row r="154" spans="1:12" ht="15.75" thickTop="1">
      <c r="A154" s="3"/>
      <c r="B154" s="3"/>
      <c r="C154" s="3" t="s">
        <v>47</v>
      </c>
      <c r="D154" s="3"/>
      <c r="F154" s="3"/>
      <c r="G154" s="80">
        <v>71402788.31296013</v>
      </c>
      <c r="H154" s="80"/>
      <c r="J154" s="80"/>
      <c r="K154" s="3"/>
      <c r="L154" s="3"/>
    </row>
    <row r="155" spans="1:12" ht="15">
      <c r="A155" s="3"/>
      <c r="B155" s="3"/>
      <c r="C155" s="3" t="s">
        <v>60</v>
      </c>
      <c r="D155" s="3"/>
      <c r="J155" s="3"/>
      <c r="K155" s="3"/>
      <c r="L155" s="3"/>
    </row>
    <row r="156" spans="1:12" ht="15">
      <c r="A156" s="3"/>
      <c r="B156" s="3"/>
      <c r="C156" s="3"/>
      <c r="D156" s="3"/>
      <c r="J156" s="3"/>
      <c r="K156" s="3"/>
      <c r="L156" s="3"/>
    </row>
    <row r="157" spans="1:12" ht="16.5">
      <c r="A157" s="88"/>
      <c r="B157" s="91" t="s">
        <v>56</v>
      </c>
      <c r="C157" s="88"/>
      <c r="D157" s="88"/>
      <c r="F157" s="93"/>
      <c r="G157" s="92" t="s">
        <v>72</v>
      </c>
      <c r="H157" s="93"/>
      <c r="J157" s="88"/>
      <c r="K157" s="88"/>
      <c r="L157" s="88"/>
    </row>
    <row r="158" spans="1:12" ht="15">
      <c r="A158" s="3"/>
      <c r="B158" s="3" t="s">
        <v>74</v>
      </c>
      <c r="C158" s="3"/>
      <c r="D158" s="3"/>
      <c r="F158" s="3"/>
      <c r="G158" s="3"/>
      <c r="H158" s="3"/>
      <c r="J158" s="3"/>
      <c r="K158" s="3"/>
      <c r="L158" s="3"/>
    </row>
    <row r="159" spans="1:12" ht="15">
      <c r="A159" s="3"/>
      <c r="B159" s="3"/>
      <c r="C159" s="3" t="s">
        <v>67</v>
      </c>
      <c r="D159" s="3"/>
      <c r="F159" s="80"/>
      <c r="G159" s="80">
        <v>3140750</v>
      </c>
      <c r="H159" s="80"/>
      <c r="J159" s="3"/>
      <c r="K159" s="3"/>
      <c r="L159" s="3"/>
    </row>
    <row r="160" spans="1:12" ht="15">
      <c r="A160" s="3"/>
      <c r="B160" s="3"/>
      <c r="C160" s="3" t="s">
        <v>80</v>
      </c>
      <c r="D160" s="81">
        <v>33</v>
      </c>
      <c r="F160" s="80"/>
      <c r="G160" s="80">
        <v>7089489</v>
      </c>
      <c r="H160" s="80"/>
      <c r="J160" s="3"/>
      <c r="K160" s="3"/>
      <c r="L160" s="3"/>
    </row>
    <row r="161" spans="1:12" ht="15">
      <c r="A161" s="3"/>
      <c r="B161" s="3"/>
      <c r="C161" s="3" t="s">
        <v>77</v>
      </c>
      <c r="D161" s="78"/>
      <c r="F161" s="80"/>
      <c r="G161" s="83">
        <v>318960</v>
      </c>
      <c r="H161" s="80"/>
      <c r="J161" s="3"/>
      <c r="K161" s="3"/>
      <c r="L161" s="3"/>
    </row>
    <row r="162" spans="1:12" ht="15">
      <c r="A162" s="3"/>
      <c r="B162" s="3"/>
      <c r="C162" s="3" t="s">
        <v>73</v>
      </c>
      <c r="D162" s="80"/>
      <c r="F162" s="85"/>
      <c r="G162" s="85">
        <v>10549199</v>
      </c>
      <c r="H162" s="85"/>
      <c r="J162" s="3"/>
      <c r="K162" s="3"/>
      <c r="L162" s="3"/>
    </row>
    <row r="163" spans="1:12" ht="15">
      <c r="A163" s="79"/>
      <c r="B163" s="3" t="s">
        <v>81</v>
      </c>
      <c r="C163" s="3"/>
      <c r="D163" s="78"/>
      <c r="F163" s="85"/>
      <c r="G163" s="83">
        <v>-503737</v>
      </c>
      <c r="H163" s="86"/>
      <c r="J163" s="3"/>
      <c r="K163" s="3"/>
      <c r="L163" s="3"/>
    </row>
    <row r="164" spans="1:12" ht="15">
      <c r="A164" s="79"/>
      <c r="B164" s="3" t="s">
        <v>75</v>
      </c>
      <c r="C164" s="3"/>
      <c r="D164" s="3"/>
      <c r="F164" s="80"/>
      <c r="G164" s="80">
        <v>10045462</v>
      </c>
      <c r="H164" s="80"/>
      <c r="J164" s="3"/>
      <c r="K164" s="3"/>
      <c r="L164" s="3"/>
    </row>
    <row r="165" spans="1:12" ht="15">
      <c r="A165" s="79"/>
      <c r="B165" s="3" t="s">
        <v>76</v>
      </c>
      <c r="C165" s="3"/>
      <c r="D165" s="82">
        <v>10.2</v>
      </c>
      <c r="F165" s="80"/>
      <c r="G165" s="80">
        <v>-3163958.125067751</v>
      </c>
      <c r="H165" s="80"/>
      <c r="J165" s="80">
        <f>+E165+G165</f>
        <v>-3163958.125067751</v>
      </c>
      <c r="K165" s="3"/>
      <c r="L165" s="3"/>
    </row>
    <row r="166" spans="1:12" ht="15.75" thickBot="1">
      <c r="A166" s="3"/>
      <c r="B166" s="3"/>
      <c r="C166" s="3"/>
      <c r="D166" s="3"/>
      <c r="F166" s="80"/>
      <c r="G166" s="84"/>
      <c r="H166" s="80"/>
      <c r="J166" s="3"/>
      <c r="K166" s="3"/>
      <c r="L166" s="3"/>
    </row>
    <row r="167" spans="1:12" ht="15.75" thickTop="1">
      <c r="A167" s="3"/>
      <c r="B167" s="3" t="s">
        <v>79</v>
      </c>
      <c r="C167" s="3"/>
      <c r="D167" s="3"/>
      <c r="F167" s="80"/>
      <c r="G167" s="80">
        <v>6881503.874932249</v>
      </c>
      <c r="H167" s="80"/>
      <c r="J167" s="80">
        <f>I164-I165</f>
        <v>0</v>
      </c>
      <c r="K167" s="3"/>
      <c r="L167" s="3"/>
    </row>
    <row r="168" spans="1:12" ht="15">
      <c r="A168" s="3"/>
      <c r="B168" s="3"/>
      <c r="C168" s="3"/>
      <c r="D168" s="3"/>
      <c r="F168" s="3"/>
      <c r="G168" s="3"/>
      <c r="H168" s="3"/>
      <c r="J168" s="3"/>
      <c r="K168" s="3"/>
      <c r="L168" s="3"/>
    </row>
    <row r="169" spans="1:12" ht="15">
      <c r="A169" s="3"/>
      <c r="B169" s="3" t="s">
        <v>78</v>
      </c>
      <c r="C169" s="3"/>
      <c r="D169" s="3"/>
      <c r="F169" s="78"/>
      <c r="G169" s="78">
        <v>0.09637584242187368</v>
      </c>
      <c r="H169" s="78"/>
      <c r="J169" s="3"/>
      <c r="K169" s="3"/>
      <c r="L169" s="3"/>
    </row>
    <row r="170" spans="2:10" ht="15">
      <c r="B170" s="3" t="s">
        <v>60</v>
      </c>
      <c r="J170" s="2"/>
    </row>
  </sheetData>
  <printOptions/>
  <pageMargins left="0.75" right="0.75" top="1" bottom="1" header="0.5" footer="0.5"/>
  <pageSetup fitToHeight="3" horizontalDpi="600" verticalDpi="600" orientation="portrait" scale="65"/>
  <rowBreaks count="2" manualBreakCount="2">
    <brk id="57" max="11" man="1"/>
    <brk id="11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4"/>
  <sheetViews>
    <sheetView defaultGridColor="0" zoomScale="50" zoomScaleNormal="50" colorId="22" workbookViewId="0" topLeftCell="G37">
      <selection activeCell="J41" sqref="J41:M60"/>
    </sheetView>
  </sheetViews>
  <sheetFormatPr defaultColWidth="17.8515625" defaultRowHeight="12.75"/>
  <cols>
    <col min="1" max="3" width="17.8515625" style="5" customWidth="1"/>
    <col min="4" max="4" width="21.8515625" style="5" customWidth="1"/>
    <col min="5" max="5" width="20.140625" style="5" bestFit="1" customWidth="1"/>
    <col min="6" max="6" width="18.8515625" style="5" bestFit="1" customWidth="1"/>
    <col min="7" max="7" width="18.00390625" style="5" bestFit="1" customWidth="1"/>
    <col min="8" max="9" width="17.8515625" style="5" customWidth="1"/>
    <col min="10" max="11" width="18.00390625" style="5" bestFit="1" customWidth="1"/>
    <col min="12" max="12" width="17.8515625" style="5" customWidth="1"/>
    <col min="13" max="13" width="20.00390625" style="5" bestFit="1" customWidth="1"/>
    <col min="14" max="14" width="17.8515625" style="5" customWidth="1"/>
    <col min="15" max="15" width="3.421875" style="5" customWidth="1"/>
    <col min="16" max="16384" width="17.8515625" style="5" customWidth="1"/>
  </cols>
  <sheetData>
    <row r="1" spans="14:15" ht="15">
      <c r="N1" s="6" t="s">
        <v>82</v>
      </c>
      <c r="O1" s="5">
        <v>2</v>
      </c>
    </row>
    <row r="2" spans="1:14" ht="30" customHeight="1">
      <c r="A2" s="95" t="s">
        <v>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5.75">
      <c r="A3" s="96" t="s">
        <v>83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ht="15"/>
    <row r="5" ht="15"/>
    <row r="6" spans="1:15" s="8" customFormat="1" ht="23.25">
      <c r="A6" s="94" t="s">
        <v>84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7"/>
    </row>
    <row r="7" ht="15"/>
    <row r="8" ht="15"/>
    <row r="9" spans="1:10" ht="15">
      <c r="A9" s="9"/>
      <c r="B9" s="9"/>
      <c r="C9" s="9"/>
      <c r="D9" s="9"/>
      <c r="E9" s="9"/>
      <c r="G9" s="9"/>
      <c r="H9" s="9"/>
      <c r="I9" s="9"/>
      <c r="J9" s="9"/>
    </row>
    <row r="10" spans="1:10" s="12" customFormat="1" ht="19.5" customHeight="1">
      <c r="A10" s="10" t="s">
        <v>85</v>
      </c>
      <c r="B10" s="11"/>
      <c r="C10" s="11"/>
      <c r="D10" s="11"/>
      <c r="E10" s="11"/>
      <c r="F10" s="11"/>
      <c r="G10" s="10" t="s">
        <v>86</v>
      </c>
      <c r="H10" s="11"/>
      <c r="I10" s="11"/>
      <c r="J10" s="11"/>
    </row>
    <row r="11" spans="1:10" s="12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4" s="12" customFormat="1" ht="19.5" customHeight="1">
      <c r="A12" s="11" t="s">
        <v>87</v>
      </c>
      <c r="B12" s="13" t="s">
        <v>88</v>
      </c>
      <c r="C12" s="14">
        <v>619920</v>
      </c>
      <c r="D12" s="13" t="s">
        <v>89</v>
      </c>
      <c r="E12" s="15">
        <v>659428</v>
      </c>
      <c r="F12" s="16"/>
      <c r="G12" s="17" t="s">
        <v>90</v>
      </c>
      <c r="H12" s="11"/>
      <c r="I12" s="18"/>
      <c r="J12" s="17">
        <f>E13-D21</f>
        <v>28997282.24000001</v>
      </c>
      <c r="K12" s="19"/>
      <c r="L12" s="20"/>
      <c r="M12" s="20"/>
      <c r="N12" s="20"/>
    </row>
    <row r="13" spans="1:10" s="12" customFormat="1" ht="19.5" customHeight="1">
      <c r="A13" s="11" t="s">
        <v>91</v>
      </c>
      <c r="B13" s="11"/>
      <c r="C13" s="11"/>
      <c r="D13" s="21"/>
      <c r="E13" s="18">
        <f>M60</f>
        <v>149997282.24</v>
      </c>
      <c r="F13" s="11"/>
      <c r="G13" s="17" t="s">
        <v>92</v>
      </c>
      <c r="H13" s="11"/>
      <c r="I13" s="18"/>
      <c r="J13" s="22">
        <f>E15/E13</f>
        <v>0.05033841605155738</v>
      </c>
    </row>
    <row r="14" spans="1:10" s="12" customFormat="1" ht="19.5" customHeight="1">
      <c r="A14" s="11" t="s">
        <v>93</v>
      </c>
      <c r="B14" s="11" t="s">
        <v>94</v>
      </c>
      <c r="C14" s="23">
        <v>3</v>
      </c>
      <c r="D14" s="11"/>
      <c r="E14" s="11"/>
      <c r="F14" s="11"/>
      <c r="G14" s="11" t="s">
        <v>95</v>
      </c>
      <c r="H14" s="11"/>
      <c r="I14" s="11"/>
      <c r="J14" s="24">
        <v>0.365</v>
      </c>
    </row>
    <row r="15" spans="1:11" s="12" customFormat="1" ht="19.5" customHeight="1">
      <c r="A15" s="11"/>
      <c r="B15" s="11" t="s">
        <v>96</v>
      </c>
      <c r="C15" s="25">
        <f>(C12*12.18)/C14</f>
        <v>2516875.1999999997</v>
      </c>
      <c r="D15" s="11"/>
      <c r="E15" s="18">
        <f>C14*C15</f>
        <v>7550625.6</v>
      </c>
      <c r="F15" s="11"/>
      <c r="G15" s="17" t="s">
        <v>97</v>
      </c>
      <c r="H15" s="11"/>
      <c r="I15" s="11"/>
      <c r="J15" s="26">
        <f>J12-E15</f>
        <v>21446656.640000008</v>
      </c>
      <c r="K15" s="27" t="s">
        <v>98</v>
      </c>
    </row>
    <row r="16" spans="1:15" s="12" customFormat="1" ht="19.5" customHeight="1">
      <c r="A16" s="11" t="s">
        <v>99</v>
      </c>
      <c r="B16" s="11"/>
      <c r="C16" s="28"/>
      <c r="D16" s="13" t="s">
        <v>100</v>
      </c>
      <c r="E16" s="14">
        <v>20</v>
      </c>
      <c r="F16" s="11"/>
      <c r="G16" s="29"/>
      <c r="H16" s="29"/>
      <c r="I16" s="30"/>
      <c r="J16" s="29"/>
      <c r="K16" s="31"/>
      <c r="L16" s="31"/>
      <c r="M16" s="31"/>
      <c r="N16" s="31"/>
      <c r="O16" s="31"/>
    </row>
    <row r="17" spans="1:10" s="12" customFormat="1" ht="19.5" customHeight="1">
      <c r="A17" s="11" t="s">
        <v>101</v>
      </c>
      <c r="B17" s="11"/>
      <c r="C17" s="28"/>
      <c r="D17" s="13" t="s">
        <v>100</v>
      </c>
      <c r="E17" s="32">
        <v>12</v>
      </c>
      <c r="F17" s="11"/>
      <c r="G17" s="10" t="s">
        <v>102</v>
      </c>
      <c r="H17" s="11"/>
      <c r="I17" s="11"/>
      <c r="J17" s="11"/>
    </row>
    <row r="18" spans="1:10" s="12" customFormat="1" ht="19.5" customHeight="1">
      <c r="A18" s="29"/>
      <c r="B18" s="29"/>
      <c r="C18" s="29"/>
      <c r="D18" s="33"/>
      <c r="E18" s="29"/>
      <c r="F18" s="11"/>
      <c r="G18" s="11" t="s">
        <v>103</v>
      </c>
      <c r="H18" s="11"/>
      <c r="I18" s="34"/>
      <c r="J18" s="24">
        <v>0.08</v>
      </c>
    </row>
    <row r="19" spans="1:10" s="12" customFormat="1" ht="19.5" customHeight="1">
      <c r="A19" s="10" t="s">
        <v>104</v>
      </c>
      <c r="B19" s="11"/>
      <c r="C19" s="11"/>
      <c r="D19" s="11"/>
      <c r="E19" s="11"/>
      <c r="F19" s="11"/>
      <c r="G19" s="11" t="s">
        <v>105</v>
      </c>
      <c r="H19" s="11"/>
      <c r="I19" s="34"/>
      <c r="J19" s="24">
        <v>0.02</v>
      </c>
    </row>
    <row r="20" spans="7:15" s="12" customFormat="1" ht="19.5" customHeight="1">
      <c r="G20" s="31"/>
      <c r="H20" s="31"/>
      <c r="I20" s="31"/>
      <c r="J20" s="31"/>
      <c r="K20" s="31"/>
      <c r="L20" s="31"/>
      <c r="M20" s="31"/>
      <c r="N20" s="31"/>
      <c r="O20" s="31"/>
    </row>
    <row r="21" spans="1:13" s="12" customFormat="1" ht="19.5" customHeight="1">
      <c r="A21" s="11" t="s">
        <v>106</v>
      </c>
      <c r="B21" s="11"/>
      <c r="C21" s="21"/>
      <c r="D21" s="35">
        <v>121000000</v>
      </c>
      <c r="E21" s="11"/>
      <c r="F21" s="11"/>
      <c r="G21" s="36" t="s">
        <v>107</v>
      </c>
      <c r="H21" s="37"/>
      <c r="I21" s="37"/>
      <c r="J21" s="38" t="s">
        <v>108</v>
      </c>
      <c r="K21" s="38" t="s">
        <v>68</v>
      </c>
      <c r="L21" s="38" t="s">
        <v>109</v>
      </c>
      <c r="M21" s="11"/>
    </row>
    <row r="22" spans="1:13" s="12" customFormat="1" ht="19.5" customHeight="1">
      <c r="A22" s="11" t="s">
        <v>110</v>
      </c>
      <c r="B22" s="11"/>
      <c r="C22" s="34"/>
      <c r="D22" s="39">
        <v>0.05</v>
      </c>
      <c r="E22" s="11"/>
      <c r="F22" s="11"/>
      <c r="G22" s="11" t="s">
        <v>111</v>
      </c>
      <c r="H22" s="11"/>
      <c r="I22" s="11"/>
      <c r="J22" s="40">
        <v>405087</v>
      </c>
      <c r="K22" s="11">
        <f>L22-J22</f>
        <v>214833</v>
      </c>
      <c r="L22" s="11">
        <f>C12</f>
        <v>619920</v>
      </c>
      <c r="M22" s="11"/>
    </row>
    <row r="23" spans="1:13" s="12" customFormat="1" ht="19.5" customHeight="1">
      <c r="A23" s="11" t="s">
        <v>112</v>
      </c>
      <c r="B23" s="11"/>
      <c r="C23" s="11"/>
      <c r="D23" s="41">
        <v>25</v>
      </c>
      <c r="E23" s="11"/>
      <c r="F23" s="11"/>
      <c r="G23" s="42" t="s">
        <v>113</v>
      </c>
      <c r="H23" s="11"/>
      <c r="I23" s="11"/>
      <c r="J23" s="43">
        <f>J22/$L$22</f>
        <v>0.6534504452187379</v>
      </c>
      <c r="K23" s="43">
        <f>K22/$L$22</f>
        <v>0.3465495547812621</v>
      </c>
      <c r="L23" s="43">
        <f>L22/$L$22</f>
        <v>1</v>
      </c>
      <c r="M23" s="11"/>
    </row>
    <row r="24" spans="1:13" s="12" customFormat="1" ht="19.5" customHeight="1">
      <c r="A24" s="11" t="s">
        <v>114</v>
      </c>
      <c r="B24" s="11"/>
      <c r="C24" s="21"/>
      <c r="D24" s="21">
        <f>PMT(D22/12,D23*12,-D21)*12</f>
        <v>8488247.40269584</v>
      </c>
      <c r="E24" s="11"/>
      <c r="F24" s="11"/>
      <c r="G24" s="11" t="s">
        <v>115</v>
      </c>
      <c r="H24" s="11"/>
      <c r="I24" s="11"/>
      <c r="J24" s="44">
        <f>32.47+4.25</f>
        <v>36.72</v>
      </c>
      <c r="K24" s="44">
        <v>35</v>
      </c>
      <c r="L24" s="45">
        <f>(+J24*$J$23)+(K24*$K$23)</f>
        <v>36.12393476577623</v>
      </c>
      <c r="M24" s="11"/>
    </row>
    <row r="25" spans="1:13" s="12" customFormat="1" ht="19.5" customHeight="1">
      <c r="A25" s="11" t="s">
        <v>116</v>
      </c>
      <c r="B25" s="11"/>
      <c r="C25" s="21"/>
      <c r="D25" s="21">
        <f>D24/12</f>
        <v>707353.9502246534</v>
      </c>
      <c r="E25" s="11"/>
      <c r="F25" s="11"/>
      <c r="G25" s="11" t="s">
        <v>117</v>
      </c>
      <c r="H25" s="11"/>
      <c r="I25" s="11"/>
      <c r="J25" s="46">
        <v>0</v>
      </c>
      <c r="K25" s="47"/>
      <c r="L25" s="11"/>
      <c r="M25" s="11"/>
    </row>
    <row r="26" spans="1:13" s="12" customFormat="1" ht="19.5" customHeight="1">
      <c r="A26" s="11"/>
      <c r="B26" s="11"/>
      <c r="C26" s="11"/>
      <c r="D26" s="11"/>
      <c r="E26" s="11"/>
      <c r="F26" s="11"/>
      <c r="G26" s="11" t="s">
        <v>0</v>
      </c>
      <c r="H26" s="11"/>
      <c r="I26" s="11"/>
      <c r="J26" s="48">
        <v>0.105</v>
      </c>
      <c r="K26" s="11"/>
      <c r="L26" s="11"/>
      <c r="M26" s="11"/>
    </row>
    <row r="27" spans="1:13" s="12" customFormat="1" ht="19.5" customHeight="1">
      <c r="A27" s="11" t="s">
        <v>1</v>
      </c>
      <c r="B27" s="11"/>
      <c r="C27" s="11"/>
      <c r="D27" s="47">
        <v>1.6474129860492566</v>
      </c>
      <c r="E27" s="11"/>
      <c r="F27" s="11"/>
      <c r="G27" s="11" t="s">
        <v>2</v>
      </c>
      <c r="H27" s="11"/>
      <c r="I27" s="49" t="s">
        <v>3</v>
      </c>
      <c r="J27" s="45">
        <f>IF(I27="Y",(PMT(J26/12,J30*12,-(J22*J25))*12)/J22,0)</f>
        <v>0</v>
      </c>
      <c r="K27" s="11"/>
      <c r="L27" s="11"/>
      <c r="M27" s="11"/>
    </row>
    <row r="28" spans="1:13" s="12" customFormat="1" ht="19.5" customHeight="1">
      <c r="A28" s="11" t="s">
        <v>4</v>
      </c>
      <c r="B28" s="11"/>
      <c r="C28" s="11"/>
      <c r="D28" s="50">
        <v>0.025</v>
      </c>
      <c r="E28" s="11"/>
      <c r="F28" s="11"/>
      <c r="G28" s="11" t="s">
        <v>5</v>
      </c>
      <c r="H28" s="11"/>
      <c r="I28" s="11"/>
      <c r="J28" s="51">
        <v>32.24</v>
      </c>
      <c r="K28" s="52">
        <v>33</v>
      </c>
      <c r="L28" s="53">
        <f>(+J28*$J$23)+(K28*$K$23)</f>
        <v>32.503377661633756</v>
      </c>
      <c r="M28" s="11"/>
    </row>
    <row r="29" spans="1:13" s="12" customFormat="1" ht="19.5" customHeight="1" thickBot="1">
      <c r="A29" s="40" t="s">
        <v>6</v>
      </c>
      <c r="B29" s="54"/>
      <c r="C29" s="17"/>
      <c r="D29" s="43">
        <v>0.6955225662943297</v>
      </c>
      <c r="E29" s="11"/>
      <c r="F29" s="11"/>
      <c r="G29" s="11" t="s">
        <v>7</v>
      </c>
      <c r="H29" s="11"/>
      <c r="I29" s="11"/>
      <c r="J29" s="55">
        <f>J27+J28</f>
        <v>32.24</v>
      </c>
      <c r="K29" s="55">
        <f>K27+K28</f>
        <v>33</v>
      </c>
      <c r="L29" s="55">
        <f>(+J29*$J$23)+(K29*$K$23)</f>
        <v>32.503377661633756</v>
      </c>
      <c r="M29" s="11"/>
    </row>
    <row r="30" spans="1:13" s="12" customFormat="1" ht="19.5" customHeight="1" thickTop="1">
      <c r="A30" s="11"/>
      <c r="B30" s="11"/>
      <c r="C30" s="11"/>
      <c r="D30" s="11"/>
      <c r="E30" s="11"/>
      <c r="F30" s="11"/>
      <c r="G30" s="11" t="s">
        <v>8</v>
      </c>
      <c r="H30" s="11"/>
      <c r="I30" s="11"/>
      <c r="J30" s="40">
        <v>10</v>
      </c>
      <c r="K30" s="14">
        <v>7</v>
      </c>
      <c r="L30" s="28">
        <f>(+J30*$J$23)+(K30*$K$23)</f>
        <v>8.960351335656213</v>
      </c>
      <c r="M30" s="11"/>
    </row>
    <row r="31" spans="1:13" s="12" customFormat="1" ht="19.5" customHeight="1">
      <c r="A31" s="11"/>
      <c r="B31" s="11"/>
      <c r="C31" s="11"/>
      <c r="D31" s="11"/>
      <c r="E31" s="11"/>
      <c r="F31" s="11"/>
      <c r="G31" s="11" t="s">
        <v>9</v>
      </c>
      <c r="H31" s="11"/>
      <c r="I31" s="11"/>
      <c r="J31" s="24">
        <v>0.03</v>
      </c>
      <c r="K31" s="24">
        <v>0.04</v>
      </c>
      <c r="L31" s="11"/>
      <c r="M31" s="11"/>
    </row>
    <row r="32" spans="1:13" s="12" customFormat="1" ht="19.5" customHeight="1">
      <c r="A32" s="11"/>
      <c r="B32" s="11"/>
      <c r="C32" s="11"/>
      <c r="D32" s="11"/>
      <c r="E32" s="11"/>
      <c r="F32" s="11"/>
      <c r="G32" s="11" t="s">
        <v>10</v>
      </c>
      <c r="H32" s="11"/>
      <c r="I32" s="11"/>
      <c r="J32" s="56" t="s">
        <v>11</v>
      </c>
      <c r="K32" s="57"/>
      <c r="L32" s="11"/>
      <c r="M32" s="11"/>
    </row>
    <row r="33" spans="1:13" s="12" customFormat="1" ht="19.5" customHeight="1">
      <c r="A33" s="11"/>
      <c r="B33" s="11"/>
      <c r="C33" s="11"/>
      <c r="D33" s="11"/>
      <c r="E33" s="11"/>
      <c r="F33" s="11"/>
      <c r="G33" s="11" t="s">
        <v>12</v>
      </c>
      <c r="H33" s="11"/>
      <c r="I33" s="11"/>
      <c r="J33" s="58" t="s">
        <v>11</v>
      </c>
      <c r="K33" s="58" t="s">
        <v>11</v>
      </c>
      <c r="L33" s="11"/>
      <c r="M33" s="11"/>
    </row>
    <row r="34" spans="1:13" s="12" customFormat="1" ht="19.5" customHeight="1">
      <c r="A34" s="11"/>
      <c r="B34" s="11"/>
      <c r="C34" s="11"/>
      <c r="D34" s="11"/>
      <c r="E34" s="11"/>
      <c r="F34" s="11"/>
      <c r="G34" s="11" t="s">
        <v>13</v>
      </c>
      <c r="H34" s="11"/>
      <c r="I34" s="11"/>
      <c r="J34" s="59">
        <v>3722101</v>
      </c>
      <c r="K34" s="21">
        <f>M43-J34</f>
        <v>1985057</v>
      </c>
      <c r="L34" s="21">
        <f>J34+K34</f>
        <v>5707158</v>
      </c>
      <c r="M34" s="11"/>
    </row>
    <row r="35" spans="1:13" s="12" customFormat="1" ht="19.5" customHeight="1">
      <c r="A35" s="11"/>
      <c r="B35" s="11"/>
      <c r="C35" s="11"/>
      <c r="D35" s="11"/>
      <c r="E35" s="11"/>
      <c r="F35" s="11"/>
      <c r="G35" s="11" t="s">
        <v>14</v>
      </c>
      <c r="H35" s="11"/>
      <c r="I35" s="11"/>
      <c r="J35" s="46">
        <v>10.2</v>
      </c>
      <c r="K35" s="44">
        <v>10.2</v>
      </c>
      <c r="L35" s="21"/>
      <c r="M35" s="11"/>
    </row>
    <row r="36" spans="1:13" s="12" customFormat="1" ht="19.5" customHeight="1">
      <c r="A36" s="11"/>
      <c r="B36" s="11"/>
      <c r="C36" s="11"/>
      <c r="D36" s="11"/>
      <c r="E36" s="11"/>
      <c r="F36" s="11"/>
      <c r="G36" s="11" t="s">
        <v>49</v>
      </c>
      <c r="H36" s="11"/>
      <c r="I36" s="11"/>
      <c r="J36" s="60">
        <v>6</v>
      </c>
      <c r="K36" s="60">
        <v>3</v>
      </c>
      <c r="L36" s="21"/>
      <c r="M36" s="11"/>
    </row>
    <row r="37" spans="1:14" s="12" customFormat="1" ht="19.5" customHeight="1">
      <c r="A37" s="11"/>
      <c r="B37" s="11"/>
      <c r="C37" s="11"/>
      <c r="D37" s="11"/>
      <c r="E37" s="11"/>
      <c r="F37" s="11"/>
      <c r="G37" s="11" t="s">
        <v>15</v>
      </c>
      <c r="H37" s="11"/>
      <c r="I37" s="11"/>
      <c r="K37" s="61"/>
      <c r="L37" s="46">
        <f>(897*60*12)/C12</f>
        <v>1.0418118466898956</v>
      </c>
      <c r="M37" s="42"/>
      <c r="N37" s="19"/>
    </row>
    <row r="38" spans="3:13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4" s="8" customFormat="1" ht="21">
      <c r="A39" s="62"/>
      <c r="B39" s="63"/>
      <c r="C39" s="94" t="s">
        <v>16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="12" customFormat="1" ht="16.5"/>
    <row r="41" spans="3:14" s="12" customFormat="1" ht="18">
      <c r="C41" s="10" t="s">
        <v>17</v>
      </c>
      <c r="D41" s="11"/>
      <c r="E41" s="11"/>
      <c r="F41" s="11"/>
      <c r="G41" s="11"/>
      <c r="H41" s="11"/>
      <c r="I41" s="11"/>
      <c r="J41" s="10" t="s">
        <v>18</v>
      </c>
      <c r="K41" s="11"/>
      <c r="L41" s="11"/>
      <c r="M41" s="11"/>
      <c r="N41" s="11"/>
    </row>
    <row r="42" spans="3:14" s="12" customFormat="1" ht="18">
      <c r="C42" s="11"/>
      <c r="D42" s="11"/>
      <c r="E42" s="11"/>
      <c r="F42" s="38" t="s">
        <v>19</v>
      </c>
      <c r="G42" s="38" t="s">
        <v>20</v>
      </c>
      <c r="H42" s="11"/>
      <c r="I42" s="11"/>
      <c r="J42" s="11"/>
      <c r="K42" s="11"/>
      <c r="L42" s="11"/>
      <c r="M42" s="38" t="s">
        <v>19</v>
      </c>
      <c r="N42" s="38" t="s">
        <v>20</v>
      </c>
    </row>
    <row r="43" spans="3:14" s="12" customFormat="1" ht="19.5" customHeight="1">
      <c r="C43" s="11" t="s">
        <v>21</v>
      </c>
      <c r="D43" s="11"/>
      <c r="E43" s="11"/>
      <c r="F43" s="18">
        <f>E15</f>
        <v>7550625.6</v>
      </c>
      <c r="G43" s="47">
        <f aca="true" t="shared" si="0" ref="G43:G60">F43/$C$12</f>
        <v>12.18</v>
      </c>
      <c r="H43" s="11"/>
      <c r="I43" s="11"/>
      <c r="J43" s="11" t="s">
        <v>22</v>
      </c>
      <c r="K43" s="11"/>
      <c r="L43" s="11"/>
      <c r="M43" s="64">
        <v>5707158</v>
      </c>
      <c r="N43" s="65">
        <f aca="true" t="shared" si="1" ref="N43:N54">M43/$C$12</f>
        <v>9.2062814556717</v>
      </c>
    </row>
    <row r="44" spans="3:14" s="12" customFormat="1" ht="19.5" customHeight="1">
      <c r="C44" s="11" t="s">
        <v>24</v>
      </c>
      <c r="D44" s="11"/>
      <c r="E44" s="11"/>
      <c r="F44" s="40">
        <v>1446866</v>
      </c>
      <c r="G44" s="47">
        <f t="shared" si="0"/>
        <v>2.333955994321848</v>
      </c>
      <c r="H44" s="11"/>
      <c r="I44" s="11"/>
      <c r="J44" s="11" t="s">
        <v>23</v>
      </c>
      <c r="K44" s="11"/>
      <c r="L44" s="11"/>
      <c r="M44" s="40">
        <v>534411</v>
      </c>
      <c r="N44" s="47">
        <f t="shared" si="1"/>
        <v>0.8620644599303136</v>
      </c>
    </row>
    <row r="45" spans="3:14" s="12" customFormat="1" ht="19.5" customHeight="1">
      <c r="C45" s="11" t="s">
        <v>26</v>
      </c>
      <c r="D45" s="11"/>
      <c r="E45" s="11"/>
      <c r="F45" s="40">
        <v>734729</v>
      </c>
      <c r="G45" s="47">
        <f t="shared" si="0"/>
        <v>1.1851997031875081</v>
      </c>
      <c r="H45" s="11"/>
      <c r="I45" s="11"/>
      <c r="J45" s="11" t="s">
        <v>25</v>
      </c>
      <c r="K45" s="11"/>
      <c r="L45" s="11"/>
      <c r="M45" s="40">
        <v>1250000</v>
      </c>
      <c r="N45" s="47">
        <f t="shared" si="1"/>
        <v>2.0163892115111626</v>
      </c>
    </row>
    <row r="46" spans="3:14" s="12" customFormat="1" ht="19.5" customHeight="1">
      <c r="C46" s="12" t="s">
        <v>50</v>
      </c>
      <c r="F46" s="40">
        <v>75000000</v>
      </c>
      <c r="G46" s="47">
        <f t="shared" si="0"/>
        <v>120.98335269066976</v>
      </c>
      <c r="H46" s="11"/>
      <c r="I46" s="11"/>
      <c r="J46" s="11" t="s">
        <v>27</v>
      </c>
      <c r="K46" s="11"/>
      <c r="L46" s="24">
        <v>0.005</v>
      </c>
      <c r="M46" s="64">
        <v>1464139</v>
      </c>
      <c r="N46" s="47">
        <f t="shared" si="1"/>
        <v>2.361819267002194</v>
      </c>
    </row>
    <row r="47" spans="3:14" s="12" customFormat="1" ht="19.5" customHeight="1">
      <c r="C47" s="11" t="s">
        <v>51</v>
      </c>
      <c r="D47" s="11"/>
      <c r="E47" s="11"/>
      <c r="F47" s="40">
        <v>3297140</v>
      </c>
      <c r="G47" s="47">
        <f t="shared" si="0"/>
        <v>5.318654019873532</v>
      </c>
      <c r="H47" s="11"/>
      <c r="I47" s="11"/>
      <c r="J47" s="11" t="s">
        <v>28</v>
      </c>
      <c r="K47" s="11"/>
      <c r="L47" s="11"/>
      <c r="M47" s="64">
        <v>3484352</v>
      </c>
      <c r="N47" s="47">
        <f t="shared" si="1"/>
        <v>5.620647825525874</v>
      </c>
    </row>
    <row r="48" spans="3:14" s="12" customFormat="1" ht="19.5" customHeight="1">
      <c r="C48" s="11" t="s">
        <v>52</v>
      </c>
      <c r="D48" s="11"/>
      <c r="E48" s="11"/>
      <c r="F48" s="40">
        <v>5551201</v>
      </c>
      <c r="G48" s="47">
        <f t="shared" si="0"/>
        <v>8.954705445863983</v>
      </c>
      <c r="H48" s="11"/>
      <c r="I48" s="11"/>
      <c r="J48" s="11" t="s">
        <v>29</v>
      </c>
      <c r="K48" s="11"/>
      <c r="L48" s="11"/>
      <c r="M48" s="40">
        <v>0</v>
      </c>
      <c r="N48" s="47">
        <f t="shared" si="1"/>
        <v>0</v>
      </c>
    </row>
    <row r="49" spans="3:14" s="12" customFormat="1" ht="19.5" customHeight="1">
      <c r="C49" s="11" t="s">
        <v>53</v>
      </c>
      <c r="D49" s="11"/>
      <c r="E49" s="11"/>
      <c r="F49" s="40">
        <v>2637712</v>
      </c>
      <c r="G49" s="47">
        <f t="shared" si="0"/>
        <v>4.254923215898826</v>
      </c>
      <c r="H49" s="11"/>
      <c r="I49" s="11"/>
      <c r="J49" s="11" t="s">
        <v>30</v>
      </c>
      <c r="K49" s="11"/>
      <c r="L49" s="11"/>
      <c r="M49" s="40">
        <v>0</v>
      </c>
      <c r="N49" s="47">
        <f t="shared" si="1"/>
        <v>0</v>
      </c>
    </row>
    <row r="50" spans="3:14" s="12" customFormat="1" ht="19.5" customHeight="1">
      <c r="C50" s="11" t="s">
        <v>54</v>
      </c>
      <c r="D50" s="11"/>
      <c r="E50" s="11"/>
      <c r="F50" s="40">
        <v>2371494</v>
      </c>
      <c r="G50" s="47">
        <f t="shared" si="0"/>
        <v>3.8254839334107626</v>
      </c>
      <c r="H50" s="11"/>
      <c r="I50" s="11"/>
      <c r="J50" s="11" t="s">
        <v>32</v>
      </c>
      <c r="K50" s="11"/>
      <c r="L50" s="11"/>
      <c r="M50" s="40">
        <v>361000</v>
      </c>
      <c r="N50" s="47">
        <f t="shared" si="1"/>
        <v>0.5823332042844238</v>
      </c>
    </row>
    <row r="51" spans="3:14" s="12" customFormat="1" ht="19.5" customHeight="1">
      <c r="C51" s="11" t="s">
        <v>55</v>
      </c>
      <c r="D51" s="11"/>
      <c r="E51" s="11"/>
      <c r="F51" s="40">
        <v>3159920</v>
      </c>
      <c r="G51" s="47">
        <f t="shared" si="0"/>
        <v>5.097302877790683</v>
      </c>
      <c r="H51" s="11"/>
      <c r="I51" s="11"/>
      <c r="J51" s="11" t="s">
        <v>34</v>
      </c>
      <c r="K51" s="11"/>
      <c r="L51" s="66">
        <f>+M51/M60</f>
        <v>0.026667149832754193</v>
      </c>
      <c r="M51" s="17">
        <v>4000000</v>
      </c>
      <c r="N51" s="47">
        <f t="shared" si="1"/>
        <v>6.452445476835721</v>
      </c>
    </row>
    <row r="52" spans="3:14" s="12" customFormat="1" ht="19.5" customHeight="1">
      <c r="C52" s="11" t="s">
        <v>31</v>
      </c>
      <c r="D52" s="11"/>
      <c r="E52" s="22">
        <f>F52/(SUM(F46:F51))</f>
        <v>0.03044719759564779</v>
      </c>
      <c r="F52" s="40">
        <v>2801674</v>
      </c>
      <c r="G52" s="47">
        <f t="shared" si="0"/>
        <v>4.51941218221706</v>
      </c>
      <c r="H52" s="11"/>
      <c r="I52" s="11"/>
      <c r="J52" s="11" t="s">
        <v>36</v>
      </c>
      <c r="K52" s="11"/>
      <c r="L52" s="67"/>
      <c r="M52" s="40">
        <v>239080</v>
      </c>
      <c r="N52" s="47">
        <f t="shared" si="1"/>
        <v>0.385662666150471</v>
      </c>
    </row>
    <row r="53" spans="3:14" s="12" customFormat="1" ht="19.5" customHeight="1">
      <c r="C53" s="11" t="s">
        <v>33</v>
      </c>
      <c r="D53" s="11"/>
      <c r="E53" s="11"/>
      <c r="F53" s="40">
        <v>410000</v>
      </c>
      <c r="G53" s="47">
        <f t="shared" si="0"/>
        <v>0.6613756613756614</v>
      </c>
      <c r="H53" s="11"/>
      <c r="I53" s="11"/>
      <c r="J53" s="11" t="s">
        <v>38</v>
      </c>
      <c r="K53" s="11"/>
      <c r="L53" s="68">
        <v>0</v>
      </c>
      <c r="M53" s="11">
        <f>L53*L22</f>
        <v>0</v>
      </c>
      <c r="N53" s="47">
        <f t="shared" si="1"/>
        <v>0</v>
      </c>
    </row>
    <row r="54" spans="3:14" s="12" customFormat="1" ht="19.5" customHeight="1">
      <c r="C54" s="11" t="s">
        <v>35</v>
      </c>
      <c r="D54" s="11"/>
      <c r="E54" s="22"/>
      <c r="F54" s="40">
        <v>3130000</v>
      </c>
      <c r="G54" s="47">
        <f t="shared" si="0"/>
        <v>5.0490385856239515</v>
      </c>
      <c r="H54" s="11"/>
      <c r="I54" s="11"/>
      <c r="J54" s="11" t="s">
        <v>40</v>
      </c>
      <c r="K54" s="11"/>
      <c r="L54" s="11"/>
      <c r="M54" s="40">
        <v>298781</v>
      </c>
      <c r="N54" s="47">
        <f t="shared" si="1"/>
        <v>0.48196702800361335</v>
      </c>
    </row>
    <row r="55" spans="3:14" s="12" customFormat="1" ht="19.5" customHeight="1">
      <c r="C55" s="11" t="s">
        <v>37</v>
      </c>
      <c r="D55" s="11"/>
      <c r="E55" s="11"/>
      <c r="F55" s="40">
        <v>124000</v>
      </c>
      <c r="G55" s="47">
        <f t="shared" si="0"/>
        <v>0.20002580978190734</v>
      </c>
      <c r="H55" s="11"/>
      <c r="I55" s="11"/>
      <c r="J55" s="11"/>
      <c r="K55" s="11"/>
      <c r="L55" s="22"/>
      <c r="M55" s="11"/>
      <c r="N55" s="11"/>
    </row>
    <row r="56" spans="3:14" s="12" customFormat="1" ht="19.5" customHeight="1">
      <c r="C56" s="11" t="s">
        <v>39</v>
      </c>
      <c r="D56" s="11"/>
      <c r="E56" s="11"/>
      <c r="F56" s="40">
        <v>1060742</v>
      </c>
      <c r="G56" s="47">
        <f t="shared" si="0"/>
        <v>1.711094979997419</v>
      </c>
      <c r="H56" s="11"/>
      <c r="I56" s="11"/>
      <c r="J56" s="11"/>
      <c r="K56" s="11"/>
      <c r="L56" s="11"/>
      <c r="M56" s="69"/>
      <c r="N56" s="69"/>
    </row>
    <row r="57" spans="3:14" s="12" customFormat="1" ht="19.5" customHeight="1">
      <c r="C57" s="11" t="s">
        <v>41</v>
      </c>
      <c r="D57" s="11"/>
      <c r="E57" s="11"/>
      <c r="F57" s="40">
        <v>138308</v>
      </c>
      <c r="G57" s="47">
        <f t="shared" si="0"/>
        <v>0.2231062072525487</v>
      </c>
      <c r="H57" s="11"/>
      <c r="I57" s="11"/>
      <c r="J57" s="11"/>
      <c r="K57" s="11"/>
      <c r="L57" s="11"/>
      <c r="M57" s="11"/>
      <c r="N57" s="11"/>
    </row>
    <row r="58" spans="3:14" s="12" customFormat="1" ht="19.5" customHeight="1">
      <c r="C58" s="11" t="s">
        <v>42</v>
      </c>
      <c r="D58" s="11"/>
      <c r="E58" s="11"/>
      <c r="F58" s="40">
        <v>300000</v>
      </c>
      <c r="G58" s="47">
        <f t="shared" si="0"/>
        <v>0.48393341076267904</v>
      </c>
      <c r="H58" s="11"/>
      <c r="I58" s="11"/>
      <c r="J58" s="11"/>
      <c r="K58" s="11" t="s">
        <v>45</v>
      </c>
      <c r="L58" s="11"/>
      <c r="M58" s="70">
        <f>SUM(M42:M55)</f>
        <v>17338921</v>
      </c>
      <c r="N58" s="71">
        <f>M58/$C$12</f>
        <v>27.969610594915473</v>
      </c>
    </row>
    <row r="59" spans="3:14" s="12" customFormat="1" ht="19.5" customHeight="1">
      <c r="C59" s="11" t="s">
        <v>43</v>
      </c>
      <c r="D59" s="11"/>
      <c r="E59" s="11"/>
      <c r="F59" s="40">
        <v>550000</v>
      </c>
      <c r="G59" s="47">
        <f t="shared" si="0"/>
        <v>0.8872112530649116</v>
      </c>
      <c r="H59" s="11"/>
      <c r="I59" s="11"/>
      <c r="J59" s="11"/>
      <c r="K59" s="11"/>
      <c r="L59" s="11"/>
      <c r="M59" s="11"/>
      <c r="N59" s="11"/>
    </row>
    <row r="60" spans="3:14" s="12" customFormat="1" ht="19.5" customHeight="1" thickBot="1">
      <c r="C60" s="11" t="s">
        <v>44</v>
      </c>
      <c r="D60" s="11"/>
      <c r="E60" s="11"/>
      <c r="F60" s="72">
        <f>(J22*J24)+(K22*K24)</f>
        <v>22393949.64</v>
      </c>
      <c r="G60" s="71">
        <f t="shared" si="0"/>
        <v>36.12393476577623</v>
      </c>
      <c r="H60" s="73"/>
      <c r="I60" s="73"/>
      <c r="J60" s="10" t="s">
        <v>47</v>
      </c>
      <c r="K60" s="73"/>
      <c r="L60" s="73"/>
      <c r="M60" s="74">
        <f>M58+F62</f>
        <v>149997282.24</v>
      </c>
      <c r="N60" s="75">
        <f>M60/$C$12</f>
        <v>241.96232133178475</v>
      </c>
    </row>
    <row r="61" spans="3:7" s="12" customFormat="1" ht="18.75" thickTop="1">
      <c r="C61" s="11"/>
      <c r="D61" s="11"/>
      <c r="E61" s="11"/>
      <c r="F61" s="11"/>
      <c r="G61" s="47"/>
    </row>
    <row r="62" spans="3:7" s="12" customFormat="1" ht="18">
      <c r="C62" s="11"/>
      <c r="D62" s="11" t="s">
        <v>46</v>
      </c>
      <c r="E62" s="73"/>
      <c r="F62" s="76">
        <f>SUM(F43:F60)</f>
        <v>132658361.24</v>
      </c>
      <c r="G62" s="77">
        <f>F62/$C$12</f>
        <v>213.99271073686927</v>
      </c>
    </row>
    <row r="63" spans="3:7" ht="16.5">
      <c r="C63" s="12"/>
      <c r="D63" s="12"/>
      <c r="E63" s="12"/>
      <c r="F63" s="12"/>
      <c r="G63" s="12"/>
    </row>
    <row r="64" spans="3:7" ht="16.5">
      <c r="C64" s="12"/>
      <c r="D64" s="12"/>
      <c r="E64" s="12"/>
      <c r="F64" s="12"/>
      <c r="G64" s="12"/>
    </row>
  </sheetData>
  <mergeCells count="4">
    <mergeCell ref="C39:N39"/>
    <mergeCell ref="A2:N2"/>
    <mergeCell ref="A3:N3"/>
    <mergeCell ref="A6:N6"/>
  </mergeCells>
  <printOptions horizontalCentered="1"/>
  <pageMargins left="0.333" right="0.667" top="0.333" bottom="0.333" header="0.5" footer="0.5"/>
  <pageSetup fitToHeight="1" fitToWidth="1" horizontalDpi="300" verticalDpi="300" orientation="landscape" scale="4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Crescent Resources,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dbk0426</dc:creator>
  <cp:keywords/>
  <dc:description/>
  <cp:lastModifiedBy>Daniel Kohlhepp</cp:lastModifiedBy>
  <cp:lastPrinted>2004-05-26T14:34:51Z</cp:lastPrinted>
  <dcterms:created xsi:type="dcterms:W3CDTF">2004-03-09T16:51:13Z</dcterms:created>
  <dcterms:modified xsi:type="dcterms:W3CDTF">2012-04-07T18:59:44Z</dcterms:modified>
  <cp:category/>
  <cp:version/>
  <cp:contentType/>
  <cp:contentStatus/>
</cp:coreProperties>
</file>