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75"/>
  </bookViews>
  <sheets>
    <sheet name="Master Budget" sheetId="4" r:id="rId1"/>
    <sheet name="Sheet1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H123" i="4" l="1"/>
  <c r="I119" i="4"/>
  <c r="G119" i="4"/>
  <c r="E119" i="4"/>
  <c r="D119" i="4"/>
  <c r="C119" i="4"/>
  <c r="B119" i="4"/>
  <c r="H115" i="4"/>
  <c r="H119" i="4" s="1"/>
  <c r="I112" i="4"/>
  <c r="G112" i="4"/>
  <c r="D112" i="4"/>
  <c r="B112" i="4"/>
  <c r="H104" i="4"/>
  <c r="H112" i="4" s="1"/>
  <c r="B101" i="4"/>
  <c r="H100" i="4"/>
  <c r="G99" i="4"/>
  <c r="H99" i="4" s="1"/>
  <c r="D99" i="4"/>
  <c r="D101" i="4" s="1"/>
  <c r="H98" i="4"/>
  <c r="H97" i="4"/>
  <c r="G97" i="4"/>
  <c r="G101" i="4" s="1"/>
  <c r="H90" i="4"/>
  <c r="H101" i="4" s="1"/>
  <c r="I87" i="4"/>
  <c r="G87" i="4"/>
  <c r="D87" i="4"/>
  <c r="B87" i="4"/>
  <c r="H85" i="4"/>
  <c r="H81" i="4"/>
  <c r="H87" i="4" s="1"/>
  <c r="B70" i="4"/>
  <c r="B73" i="4" s="1"/>
  <c r="D67" i="4"/>
  <c r="B67" i="4"/>
  <c r="I65" i="4"/>
  <c r="G65" i="4"/>
  <c r="H65" i="4" s="1"/>
  <c r="I64" i="4"/>
  <c r="G64" i="4"/>
  <c r="H62" i="4"/>
  <c r="B58" i="4"/>
  <c r="B121" i="4" s="1"/>
  <c r="H57" i="4"/>
  <c r="I55" i="4"/>
  <c r="G55" i="4"/>
  <c r="H55" i="4" s="1"/>
  <c r="H54" i="4"/>
  <c r="H53" i="4"/>
  <c r="I52" i="4"/>
  <c r="G52" i="4"/>
  <c r="H52" i="4" s="1"/>
  <c r="H51" i="4"/>
  <c r="H50" i="4"/>
  <c r="H48" i="4"/>
  <c r="I47" i="4"/>
  <c r="G47" i="4"/>
  <c r="H47" i="4" s="1"/>
  <c r="H46" i="4"/>
  <c r="I44" i="4"/>
  <c r="G44" i="4"/>
  <c r="H44" i="4" s="1"/>
  <c r="I43" i="4"/>
  <c r="H43" i="4"/>
  <c r="G43" i="4"/>
  <c r="I42" i="4"/>
  <c r="G42" i="4"/>
  <c r="H42" i="4" s="1"/>
  <c r="I41" i="4"/>
  <c r="G41" i="4"/>
  <c r="H41" i="4" s="1"/>
  <c r="D41" i="4"/>
  <c r="H40" i="4"/>
  <c r="I39" i="4"/>
  <c r="H39" i="4"/>
  <c r="G39" i="4"/>
  <c r="G37" i="4"/>
  <c r="D32" i="4"/>
  <c r="B32" i="4"/>
  <c r="I32" i="4"/>
  <c r="G30" i="4"/>
  <c r="G32" i="4" s="1"/>
  <c r="H24" i="4"/>
  <c r="H23" i="4"/>
  <c r="H20" i="4"/>
  <c r="H19" i="4"/>
  <c r="H18" i="4"/>
  <c r="E18" i="4"/>
  <c r="H17" i="4"/>
  <c r="E17" i="4"/>
  <c r="D14" i="4"/>
  <c r="B14" i="4"/>
  <c r="I11" i="4"/>
  <c r="H11" i="4"/>
  <c r="G11" i="4"/>
  <c r="I9" i="4"/>
  <c r="I14" i="4" s="1"/>
  <c r="H9" i="4"/>
  <c r="H14" i="4" s="1"/>
  <c r="G9" i="4"/>
  <c r="G14" i="4" s="1"/>
  <c r="E9" i="4"/>
  <c r="E14" i="4" s="1"/>
  <c r="I6" i="4"/>
  <c r="D6" i="4"/>
  <c r="B6" i="4"/>
  <c r="C19" i="4" s="1"/>
  <c r="J123" i="4" l="1"/>
  <c r="J115" i="4"/>
  <c r="J119" i="4" s="1"/>
  <c r="J99" i="4"/>
  <c r="J98" i="4"/>
  <c r="J90" i="4"/>
  <c r="J85" i="4"/>
  <c r="J62" i="4"/>
  <c r="J57" i="4"/>
  <c r="J54" i="4"/>
  <c r="J53" i="4"/>
  <c r="J51" i="4"/>
  <c r="J50" i="4"/>
  <c r="J48" i="4"/>
  <c r="J46" i="4"/>
  <c r="J40" i="4"/>
  <c r="J104" i="4"/>
  <c r="J112" i="4" s="1"/>
  <c r="J100" i="4"/>
  <c r="J81" i="4"/>
  <c r="J43" i="4"/>
  <c r="J39" i="4"/>
  <c r="J9" i="4"/>
  <c r="J14" i="4" s="1"/>
  <c r="J11" i="4"/>
  <c r="C37" i="4"/>
  <c r="E123" i="4"/>
  <c r="E98" i="4"/>
  <c r="E97" i="4"/>
  <c r="E90" i="4"/>
  <c r="E85" i="4"/>
  <c r="E82" i="4"/>
  <c r="E62" i="4"/>
  <c r="E44" i="4"/>
  <c r="E40" i="4"/>
  <c r="E37" i="4"/>
  <c r="E104" i="4"/>
  <c r="E112" i="4" s="1"/>
  <c r="E100" i="4"/>
  <c r="E81" i="4"/>
  <c r="E87" i="4" s="1"/>
  <c r="E71" i="4"/>
  <c r="E64" i="4"/>
  <c r="E63" i="4"/>
  <c r="E55" i="4"/>
  <c r="E43" i="4"/>
  <c r="C9" i="4"/>
  <c r="C14" i="4" s="1"/>
  <c r="B125" i="4"/>
  <c r="C17" i="4"/>
  <c r="C18" i="4"/>
  <c r="J19" i="4"/>
  <c r="E20" i="4"/>
  <c r="E32" i="4" s="1"/>
  <c r="J20" i="4"/>
  <c r="E23" i="4"/>
  <c r="J23" i="4"/>
  <c r="E24" i="4"/>
  <c r="J24" i="4"/>
  <c r="E30" i="4"/>
  <c r="H30" i="4"/>
  <c r="H32" i="4" s="1"/>
  <c r="J30" i="4"/>
  <c r="H37" i="4"/>
  <c r="H58" i="4" s="1"/>
  <c r="G58" i="4"/>
  <c r="E39" i="4"/>
  <c r="J44" i="4"/>
  <c r="J52" i="4"/>
  <c r="J55" i="4"/>
  <c r="C121" i="4"/>
  <c r="C108" i="4"/>
  <c r="C104" i="4"/>
  <c r="C100" i="4"/>
  <c r="C81" i="4"/>
  <c r="C76" i="4"/>
  <c r="C71" i="4"/>
  <c r="C64" i="4"/>
  <c r="C56" i="4"/>
  <c r="C123" i="4"/>
  <c r="C99" i="4"/>
  <c r="C98" i="4"/>
  <c r="C97" i="4"/>
  <c r="C90" i="4"/>
  <c r="C101" i="4" s="1"/>
  <c r="C85" i="4"/>
  <c r="C80" i="4"/>
  <c r="C62" i="4"/>
  <c r="J17" i="4"/>
  <c r="J18" i="4"/>
  <c r="C20" i="4"/>
  <c r="C23" i="4"/>
  <c r="C24" i="4"/>
  <c r="C30" i="4"/>
  <c r="J37" i="4"/>
  <c r="I58" i="4"/>
  <c r="E41" i="4"/>
  <c r="J41" i="4"/>
  <c r="J42" i="4"/>
  <c r="J47" i="4"/>
  <c r="J65" i="4"/>
  <c r="D58" i="4"/>
  <c r="H64" i="4"/>
  <c r="J64" i="4"/>
  <c r="C70" i="4"/>
  <c r="C73" i="4" s="1"/>
  <c r="E99" i="4"/>
  <c r="J32" i="4" l="1"/>
  <c r="I66" i="4"/>
  <c r="C67" i="4"/>
  <c r="C112" i="4"/>
  <c r="G66" i="4"/>
  <c r="C32" i="4"/>
  <c r="C125" i="4" s="1"/>
  <c r="E58" i="4"/>
  <c r="E101" i="4"/>
  <c r="C58" i="4"/>
  <c r="J87" i="4"/>
  <c r="J58" i="4"/>
  <c r="C87" i="4"/>
  <c r="E67" i="4"/>
  <c r="D70" i="4"/>
  <c r="I101" i="4"/>
  <c r="J97" i="4"/>
  <c r="J101" i="4" s="1"/>
  <c r="H66" i="4" l="1"/>
  <c r="H67" i="4" s="1"/>
  <c r="G67" i="4"/>
  <c r="J66" i="4"/>
  <c r="J67" i="4" s="1"/>
  <c r="I67" i="4"/>
  <c r="D73" i="4"/>
  <c r="D121" i="4" s="1"/>
  <c r="D125" i="4" s="1"/>
  <c r="E70" i="4"/>
  <c r="E73" i="4" s="1"/>
  <c r="E121" i="4" s="1"/>
  <c r="E125" i="4" s="1"/>
  <c r="G70" i="4" l="1"/>
  <c r="G73" i="4" l="1"/>
  <c r="G121" i="4" s="1"/>
  <c r="G125" i="4" s="1"/>
  <c r="H70" i="4"/>
  <c r="H73" i="4" s="1"/>
  <c r="H121" i="4" s="1"/>
  <c r="H125" i="4" s="1"/>
  <c r="I73" i="4"/>
  <c r="I121" i="4" s="1"/>
  <c r="I125" i="4" s="1"/>
  <c r="J70" i="4"/>
  <c r="J73" i="4" s="1"/>
  <c r="J121" i="4" s="1"/>
  <c r="J125" i="4" s="1"/>
</calcChain>
</file>

<file path=xl/sharedStrings.xml><?xml version="1.0" encoding="utf-8"?>
<sst xmlns="http://schemas.openxmlformats.org/spreadsheetml/2006/main" count="168" uniqueCount="134">
  <si>
    <t>Category</t>
  </si>
  <si>
    <t>1/5/12 Budget</t>
  </si>
  <si>
    <t>DMA Budget (2/2/12)</t>
  </si>
  <si>
    <t>Comments</t>
  </si>
  <si>
    <t>SD Pricing Budget (7/27/12)</t>
  </si>
  <si>
    <t>50% DD Budget (8/21/12)</t>
  </si>
  <si>
    <t>Cost</t>
  </si>
  <si>
    <t>per RSF</t>
  </si>
  <si>
    <t>LAND COSTS</t>
  </si>
  <si>
    <t>Land Acquisition</t>
  </si>
  <si>
    <t>from original Proforma</t>
  </si>
  <si>
    <t>Closing Expenses</t>
  </si>
  <si>
    <t>INFRASHARE</t>
  </si>
  <si>
    <t>$13,553,067 Infra Budget divided by 6</t>
  </si>
  <si>
    <t>TOTAL LAND COSTS</t>
  </si>
  <si>
    <t>CONSTRUCTION HARD COSTS</t>
  </si>
  <si>
    <t>General Contractor/Construction Manager Contract</t>
  </si>
  <si>
    <t>Conceptual Estimate</t>
  </si>
  <si>
    <t>Landscaping</t>
  </si>
  <si>
    <t>Sitework &amp; Grading</t>
  </si>
  <si>
    <t>Parking</t>
  </si>
  <si>
    <t>Other Direct Hard Costs</t>
  </si>
  <si>
    <t>Interior/Exterior Signage</t>
  </si>
  <si>
    <t>SPE Estimate</t>
  </si>
  <si>
    <t>Furniture, Fixtures &amp; Equipment</t>
  </si>
  <si>
    <t>SPE Estimate - Lease Fitness Equipment</t>
  </si>
  <si>
    <t>Owner-Furnished Construction Items</t>
  </si>
  <si>
    <t>Underground Electrical Work - (MTEMC)</t>
  </si>
  <si>
    <t>Included in Sitework &amp; Grading</t>
  </si>
  <si>
    <t xml:space="preserve">Other (detail as appropriate) </t>
  </si>
  <si>
    <t>Owner Hard Cost Contingency (see note)</t>
  </si>
  <si>
    <t>1.5% Contingency on Hard Costs</t>
  </si>
  <si>
    <t>TOTAL CONSTRUCTION HARD COSTS</t>
  </si>
  <si>
    <t>PROJECT SOFT COSTS</t>
  </si>
  <si>
    <t>Architectural/Engineering Design</t>
  </si>
  <si>
    <t>Architectural</t>
  </si>
  <si>
    <t>Duda Paine Estimate</t>
  </si>
  <si>
    <t>DudaPaine Proposal + 10%</t>
  </si>
  <si>
    <t>Environmental</t>
  </si>
  <si>
    <t>Site/Civil Engineering</t>
  </si>
  <si>
    <t>Ragan Smith Proposal + 10%</t>
  </si>
  <si>
    <t>Geotechnical</t>
  </si>
  <si>
    <t>Soil Testing - SPE Estimate</t>
  </si>
  <si>
    <t>Structural Engineering</t>
  </si>
  <si>
    <t>Structural Engineering - Structured Parking</t>
  </si>
  <si>
    <t>MEP/Fire Protection - Full Service</t>
  </si>
  <si>
    <t>Landscape Design</t>
  </si>
  <si>
    <t>Interior Design</t>
  </si>
  <si>
    <t>Traffic Consultant</t>
  </si>
  <si>
    <t>Elevator Consultant</t>
  </si>
  <si>
    <t>Lerch Bates Proposal + 10%</t>
  </si>
  <si>
    <t>Lighting Consultant</t>
  </si>
  <si>
    <t>Acoustical Consultant</t>
  </si>
  <si>
    <t>Misc. Consultant</t>
  </si>
  <si>
    <t>Signage &amp; Graphics Design</t>
  </si>
  <si>
    <t>Curtainwall/Waterproofing Consultant</t>
  </si>
  <si>
    <t>W&amp;A Proposal + 10%</t>
  </si>
  <si>
    <t>Commissioning</t>
  </si>
  <si>
    <t>exp Proposal dated 6/25/12</t>
  </si>
  <si>
    <t>Accessibility Consultant (ADA/FHA)</t>
  </si>
  <si>
    <t>Sustainability Consulting/Certification (eg, LEED)</t>
  </si>
  <si>
    <t>exp Proposal + USGBC Fees</t>
  </si>
  <si>
    <t>ALTA Survey</t>
  </si>
  <si>
    <t>Engineering Peer Review</t>
  </si>
  <si>
    <t>Subtotal, Architectural/Engineering Design</t>
  </si>
  <si>
    <t>Approvals &amp; Oversight</t>
  </si>
  <si>
    <t>Expeditor</t>
  </si>
  <si>
    <t>Permits &amp; Fees</t>
  </si>
  <si>
    <t>per CoF Fee Schedules</t>
  </si>
  <si>
    <t>Cost Estimating</t>
  </si>
  <si>
    <t>Using GC to estimate costs</t>
  </si>
  <si>
    <t>Testing &amp; Inspections</t>
  </si>
  <si>
    <t>PSI Proposal + 10%</t>
  </si>
  <si>
    <t>Owner Development Monitoring Consultant</t>
  </si>
  <si>
    <t>Pond Robinson Estimate + 10%</t>
  </si>
  <si>
    <t>Owner Soft Cost Contingency (see note)</t>
  </si>
  <si>
    <t>3% Contingency of Soft Costs</t>
  </si>
  <si>
    <t>Subtotal, Approvals &amp; Oversight</t>
  </si>
  <si>
    <t>Project Administration &amp; Overhead</t>
  </si>
  <si>
    <t>Development Fee</t>
  </si>
  <si>
    <t>3% of all Hard &amp; Soft Costs</t>
  </si>
  <si>
    <t>Development Manager Reimbursable Expenses</t>
  </si>
  <si>
    <t>Subtotal, Project Administration &amp; Overhead</t>
  </si>
  <si>
    <t>Financing</t>
  </si>
  <si>
    <t>Construction Interest</t>
  </si>
  <si>
    <t xml:space="preserve">Lender's Architect </t>
  </si>
  <si>
    <t xml:space="preserve">Lender's Counsel </t>
  </si>
  <si>
    <t>Appraisal Fees</t>
  </si>
  <si>
    <t>Loan Settlement Costs</t>
  </si>
  <si>
    <t>Recording Costs - general</t>
  </si>
  <si>
    <t>Transfer Tax - Deed</t>
  </si>
  <si>
    <t>Moved to Real Estate Taxes below</t>
  </si>
  <si>
    <t>Transfer Tax - Mortgage</t>
  </si>
  <si>
    <t>State Recordation Stamps</t>
  </si>
  <si>
    <t>Title Insurance</t>
  </si>
  <si>
    <t>Subtotal, Financing Costs</t>
  </si>
  <si>
    <t>Marketing &amp; Leasing</t>
  </si>
  <si>
    <t>Advertising and Public Relations</t>
  </si>
  <si>
    <t>Promotional Events</t>
  </si>
  <si>
    <t>Marketing Flyers/Brochures</t>
  </si>
  <si>
    <t>Models, Renderings, Displays</t>
  </si>
  <si>
    <t>Marketing Office</t>
  </si>
  <si>
    <t>Leasing Signage</t>
  </si>
  <si>
    <t>Photography</t>
  </si>
  <si>
    <t>Leasing Commissions</t>
  </si>
  <si>
    <t>6% on $26.00 w/ 2.5% esc - Average 6 years</t>
  </si>
  <si>
    <t>6% on $25.50 w/ 2.5% esc - Average 6 years</t>
  </si>
  <si>
    <t>Leasing Expenses</t>
  </si>
  <si>
    <t>Tenant Improvements &amp; Allowances</t>
  </si>
  <si>
    <t>$30.00 per RSF</t>
  </si>
  <si>
    <t>$26.50 per RSF</t>
  </si>
  <si>
    <t>Lease-Up Deficit</t>
  </si>
  <si>
    <t>No interest payments</t>
  </si>
  <si>
    <t>Subtotal, Marketing &amp; Leasing Costs</t>
  </si>
  <si>
    <t>Legal, Insurance &amp; Accounting</t>
  </si>
  <si>
    <t>Legal, Permitting &amp; Entitlements</t>
  </si>
  <si>
    <t>Legal, Leasing</t>
  </si>
  <si>
    <t>Legal, Financing</t>
  </si>
  <si>
    <t>Accounting and Auditing</t>
  </si>
  <si>
    <t>Insurance - Builder's Risk</t>
  </si>
  <si>
    <t>Insurance - Owner-Controlled Liability Program</t>
  </si>
  <si>
    <t>Bonds/Letters of Credit</t>
  </si>
  <si>
    <t>Subtotal, Legal, Insurance &amp; Accounting Costs</t>
  </si>
  <si>
    <t>Operating Costs</t>
  </si>
  <si>
    <t>Real Estate Taxes - Land</t>
  </si>
  <si>
    <t>Real Estate Taxes - Building</t>
  </si>
  <si>
    <t>Misc. Operating Expenses</t>
  </si>
  <si>
    <t>Subtotal, Operating Costs</t>
  </si>
  <si>
    <t>TOTAL PROJECT SOFT COSTS</t>
  </si>
  <si>
    <t>OWNER PROJECT CONTINGENCY</t>
  </si>
  <si>
    <t>Reduced due to Hard Cost Contingency</t>
  </si>
  <si>
    <t>PROJECT TOTAL</t>
  </si>
  <si>
    <t>48,500/space incl in GC</t>
  </si>
  <si>
    <t>One Anikeeff Place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</si>
</sst>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#,##0\ &quot;RSF&quot;"/>
    <numFmt numFmtId="166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sz val="10"/>
      <name val="Arial"/>
      <family val="2"/>
    </font>
    <font>
      <b/>
      <sz val="10"/>
      <name val="Tahoma"/>
      <family val="2"/>
    </font>
    <font>
      <b/>
      <sz val="12"/>
      <color theme="1"/>
      <name val="Cambria"/>
      <family val="1"/>
      <scheme val="major"/>
    </font>
    <font>
      <b/>
      <i/>
      <sz val="12"/>
      <color theme="1"/>
      <name val="Cambria"/>
      <family val="1"/>
      <scheme val="major"/>
    </font>
    <font>
      <sz val="10"/>
      <name val="Tahoma"/>
      <family val="2"/>
    </font>
    <font>
      <b/>
      <sz val="12"/>
      <name val="Cambria"/>
      <family val="1"/>
      <scheme val="major"/>
    </font>
    <font>
      <b/>
      <i/>
      <sz val="12"/>
      <name val="Cambria"/>
      <family val="1"/>
      <scheme val="major"/>
    </font>
    <font>
      <i/>
      <sz val="12"/>
      <name val="Cambria"/>
      <family val="1"/>
      <scheme val="major"/>
    </font>
    <font>
      <sz val="12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108">
    <xf numFmtId="0" fontId="0" fillId="0" borderId="0" xfId="0"/>
    <xf numFmtId="0" fontId="3" fillId="0" borderId="0" xfId="0" applyFont="1"/>
    <xf numFmtId="44" fontId="3" fillId="0" borderId="0" xfId="1" applyFont="1"/>
    <xf numFmtId="44" fontId="4" fillId="0" borderId="0" xfId="1" applyFont="1"/>
    <xf numFmtId="0" fontId="6" fillId="0" borderId="1" xfId="2" applyFont="1" applyBorder="1"/>
    <xf numFmtId="164" fontId="8" fillId="0" borderId="4" xfId="0" applyNumberFormat="1" applyFont="1" applyBorder="1" applyAlignment="1">
      <alignment horizontal="center"/>
    </xf>
    <xf numFmtId="44" fontId="8" fillId="0" borderId="4" xfId="1" applyFont="1" applyBorder="1" applyAlignment="1">
      <alignment horizontal="center"/>
    </xf>
    <xf numFmtId="0" fontId="6" fillId="0" borderId="5" xfId="2" applyFont="1" applyBorder="1"/>
    <xf numFmtId="165" fontId="8" fillId="0" borderId="8" xfId="0" applyNumberFormat="1" applyFont="1" applyBorder="1" applyAlignment="1">
      <alignment horizontal="center"/>
    </xf>
    <xf numFmtId="44" fontId="8" fillId="0" borderId="0" xfId="1" applyFont="1" applyBorder="1" applyAlignment="1">
      <alignment horizontal="center"/>
    </xf>
    <xf numFmtId="0" fontId="9" fillId="0" borderId="9" xfId="2" applyFont="1" applyBorder="1"/>
    <xf numFmtId="0" fontId="10" fillId="0" borderId="10" xfId="2" applyFont="1" applyBorder="1" applyAlignment="1">
      <alignment horizontal="center"/>
    </xf>
    <xf numFmtId="0" fontId="10" fillId="0" borderId="7" xfId="2" applyFont="1" applyBorder="1" applyAlignment="1">
      <alignment horizontal="center"/>
    </xf>
    <xf numFmtId="166" fontId="10" fillId="0" borderId="10" xfId="1" applyNumberFormat="1" applyFont="1" applyBorder="1" applyAlignment="1">
      <alignment horizontal="center"/>
    </xf>
    <xf numFmtId="166" fontId="10" fillId="0" borderId="7" xfId="1" applyNumberFormat="1" applyFont="1" applyBorder="1" applyAlignment="1">
      <alignment horizontal="center"/>
    </xf>
    <xf numFmtId="166" fontId="11" fillId="0" borderId="8" xfId="1" applyNumberFormat="1" applyFont="1" applyBorder="1" applyAlignment="1">
      <alignment horizontal="center"/>
    </xf>
    <xf numFmtId="166" fontId="12" fillId="0" borderId="0" xfId="1" applyNumberFormat="1" applyFont="1" applyBorder="1"/>
    <xf numFmtId="0" fontId="6" fillId="2" borderId="5" xfId="2" applyFont="1" applyFill="1" applyBorder="1"/>
    <xf numFmtId="0" fontId="6" fillId="2" borderId="11" xfId="2" applyFont="1" applyFill="1" applyBorder="1"/>
    <xf numFmtId="0" fontId="6" fillId="2" borderId="12" xfId="2" applyFont="1" applyFill="1" applyBorder="1"/>
    <xf numFmtId="166" fontId="10" fillId="2" borderId="11" xfId="1" applyNumberFormat="1" applyFont="1" applyFill="1" applyBorder="1"/>
    <xf numFmtId="166" fontId="10" fillId="2" borderId="12" xfId="1" applyNumberFormat="1" applyFont="1" applyFill="1" applyBorder="1"/>
    <xf numFmtId="166" fontId="11" fillId="2" borderId="0" xfId="1" applyNumberFormat="1" applyFont="1" applyFill="1" applyBorder="1"/>
    <xf numFmtId="0" fontId="9" fillId="0" borderId="13" xfId="2" applyFont="1" applyFill="1" applyBorder="1"/>
    <xf numFmtId="166" fontId="13" fillId="0" borderId="11" xfId="1" applyNumberFormat="1" applyFont="1" applyFill="1" applyBorder="1"/>
    <xf numFmtId="44" fontId="13" fillId="0" borderId="12" xfId="1" applyNumberFormat="1" applyFont="1" applyFill="1" applyBorder="1"/>
    <xf numFmtId="44" fontId="12" fillId="0" borderId="0" xfId="1" applyNumberFormat="1" applyFont="1" applyFill="1" applyBorder="1"/>
    <xf numFmtId="166" fontId="12" fillId="0" borderId="0" xfId="1" applyNumberFormat="1" applyFont="1" applyFill="1" applyBorder="1"/>
    <xf numFmtId="166" fontId="13" fillId="0" borderId="12" xfId="1" applyNumberFormat="1" applyFont="1" applyFill="1" applyBorder="1"/>
    <xf numFmtId="0" fontId="9" fillId="0" borderId="14" xfId="2" applyFont="1" applyFill="1" applyBorder="1"/>
    <xf numFmtId="0" fontId="9" fillId="0" borderId="15" xfId="2" applyFont="1" applyFill="1" applyBorder="1"/>
    <xf numFmtId="0" fontId="6" fillId="3" borderId="16" xfId="2" applyFont="1" applyFill="1" applyBorder="1"/>
    <xf numFmtId="166" fontId="10" fillId="3" borderId="11" xfId="1" applyNumberFormat="1" applyFont="1" applyFill="1" applyBorder="1"/>
    <xf numFmtId="44" fontId="10" fillId="3" borderId="12" xfId="1" applyNumberFormat="1" applyFont="1" applyFill="1" applyBorder="1"/>
    <xf numFmtId="44" fontId="11" fillId="3" borderId="0" xfId="1" applyNumberFormat="1" applyFont="1" applyFill="1" applyBorder="1"/>
    <xf numFmtId="166" fontId="11" fillId="3" borderId="0" xfId="1" applyNumberFormat="1" applyFont="1" applyFill="1" applyBorder="1"/>
    <xf numFmtId="166" fontId="3" fillId="0" borderId="0" xfId="0" applyNumberFormat="1" applyFont="1"/>
    <xf numFmtId="0" fontId="9" fillId="0" borderId="5" xfId="2" applyFont="1" applyBorder="1"/>
    <xf numFmtId="166" fontId="13" fillId="0" borderId="11" xfId="1" applyNumberFormat="1" applyFont="1" applyBorder="1"/>
    <xf numFmtId="166" fontId="13" fillId="0" borderId="12" xfId="1" applyNumberFormat="1" applyFont="1" applyBorder="1"/>
    <xf numFmtId="0" fontId="6" fillId="2" borderId="17" xfId="2" applyFont="1" applyFill="1" applyBorder="1"/>
    <xf numFmtId="0" fontId="9" fillId="0" borderId="13" xfId="2" applyFont="1" applyBorder="1"/>
    <xf numFmtId="166" fontId="3" fillId="0" borderId="11" xfId="1" applyNumberFormat="1" applyFont="1" applyBorder="1"/>
    <xf numFmtId="44" fontId="3" fillId="0" borderId="12" xfId="1" applyNumberFormat="1" applyFont="1" applyBorder="1"/>
    <xf numFmtId="44" fontId="4" fillId="0" borderId="0" xfId="1" applyNumberFormat="1" applyFont="1" applyBorder="1"/>
    <xf numFmtId="166" fontId="4" fillId="0" borderId="0" xfId="1" applyNumberFormat="1" applyFont="1"/>
    <xf numFmtId="166" fontId="3" fillId="0" borderId="12" xfId="1" applyNumberFormat="1" applyFont="1" applyBorder="1"/>
    <xf numFmtId="44" fontId="13" fillId="0" borderId="12" xfId="1" applyNumberFormat="1" applyFont="1" applyBorder="1"/>
    <xf numFmtId="0" fontId="6" fillId="0" borderId="13" xfId="2" applyFont="1" applyBorder="1"/>
    <xf numFmtId="166" fontId="10" fillId="0" borderId="11" xfId="1" applyNumberFormat="1" applyFont="1" applyBorder="1"/>
    <xf numFmtId="166" fontId="10" fillId="0" borderId="12" xfId="1" applyNumberFormat="1" applyFont="1" applyBorder="1"/>
    <xf numFmtId="166" fontId="11" fillId="0" borderId="0" xfId="1" applyNumberFormat="1" applyFont="1" applyBorder="1"/>
    <xf numFmtId="0" fontId="6" fillId="2" borderId="13" xfId="2" applyFont="1" applyFill="1" applyBorder="1"/>
    <xf numFmtId="44" fontId="13" fillId="0" borderId="11" xfId="1" applyNumberFormat="1" applyFont="1" applyBorder="1"/>
    <xf numFmtId="0" fontId="9" fillId="0" borderId="15" xfId="2" applyFont="1" applyBorder="1"/>
    <xf numFmtId="0" fontId="6" fillId="4" borderId="16" xfId="2" applyFont="1" applyFill="1" applyBorder="1"/>
    <xf numFmtId="166" fontId="10" fillId="4" borderId="11" xfId="1" applyNumberFormat="1" applyFont="1" applyFill="1" applyBorder="1"/>
    <xf numFmtId="44" fontId="10" fillId="4" borderId="12" xfId="1" applyNumberFormat="1" applyFont="1" applyFill="1" applyBorder="1"/>
    <xf numFmtId="44" fontId="11" fillId="4" borderId="0" xfId="1" applyNumberFormat="1" applyFont="1" applyFill="1" applyBorder="1"/>
    <xf numFmtId="166" fontId="11" fillId="4" borderId="0" xfId="1" applyNumberFormat="1" applyFont="1" applyFill="1" applyBorder="1"/>
    <xf numFmtId="0" fontId="6" fillId="2" borderId="17" xfId="2" applyFont="1" applyFill="1" applyBorder="1" applyAlignment="1">
      <alignment horizontal="left"/>
    </xf>
    <xf numFmtId="166" fontId="10" fillId="2" borderId="11" xfId="1" applyNumberFormat="1" applyFont="1" applyFill="1" applyBorder="1" applyAlignment="1">
      <alignment horizontal="left"/>
    </xf>
    <xf numFmtId="166" fontId="10" fillId="2" borderId="12" xfId="1" applyNumberFormat="1" applyFont="1" applyFill="1" applyBorder="1" applyAlignment="1">
      <alignment horizontal="left"/>
    </xf>
    <xf numFmtId="166" fontId="11" fillId="2" borderId="0" xfId="1" applyNumberFormat="1" applyFont="1" applyFill="1" applyBorder="1" applyAlignment="1">
      <alignment horizontal="left"/>
    </xf>
    <xf numFmtId="0" fontId="6" fillId="0" borderId="17" xfId="2" applyFont="1" applyFill="1" applyBorder="1" applyAlignment="1">
      <alignment horizontal="left"/>
    </xf>
    <xf numFmtId="166" fontId="10" fillId="0" borderId="11" xfId="1" applyNumberFormat="1" applyFont="1" applyFill="1" applyBorder="1" applyAlignment="1">
      <alignment horizontal="left"/>
    </xf>
    <xf numFmtId="166" fontId="10" fillId="0" borderId="12" xfId="1" applyNumberFormat="1" applyFont="1" applyFill="1" applyBorder="1" applyAlignment="1">
      <alignment horizontal="left"/>
    </xf>
    <xf numFmtId="166" fontId="11" fillId="0" borderId="0" xfId="1" applyNumberFormat="1" applyFont="1" applyFill="1" applyBorder="1" applyAlignment="1">
      <alignment horizontal="left"/>
    </xf>
    <xf numFmtId="166" fontId="3" fillId="0" borderId="11" xfId="1" applyNumberFormat="1" applyFont="1" applyFill="1" applyBorder="1"/>
    <xf numFmtId="0" fontId="6" fillId="4" borderId="14" xfId="2" applyFont="1" applyFill="1" applyBorder="1"/>
    <xf numFmtId="166" fontId="10" fillId="4" borderId="11" xfId="1" applyNumberFormat="1" applyFont="1" applyFill="1" applyBorder="1" applyAlignment="1">
      <alignment horizontal="left"/>
    </xf>
    <xf numFmtId="44" fontId="10" fillId="4" borderId="12" xfId="1" applyNumberFormat="1" applyFont="1" applyFill="1" applyBorder="1" applyAlignment="1">
      <alignment horizontal="left"/>
    </xf>
    <xf numFmtId="44" fontId="11" fillId="4" borderId="0" xfId="1" applyNumberFormat="1" applyFont="1" applyFill="1" applyBorder="1" applyAlignment="1">
      <alignment horizontal="left"/>
    </xf>
    <xf numFmtId="166" fontId="11" fillId="4" borderId="0" xfId="1" applyNumberFormat="1" applyFont="1" applyFill="1" applyBorder="1" applyAlignment="1">
      <alignment horizontal="left"/>
    </xf>
    <xf numFmtId="0" fontId="9" fillId="0" borderId="5" xfId="2" applyFont="1" applyFill="1" applyBorder="1"/>
    <xf numFmtId="166" fontId="4" fillId="0" borderId="0" xfId="1" applyNumberFormat="1" applyFont="1" applyBorder="1"/>
    <xf numFmtId="166" fontId="10" fillId="4" borderId="12" xfId="1" applyNumberFormat="1" applyFont="1" applyFill="1" applyBorder="1"/>
    <xf numFmtId="0" fontId="6" fillId="0" borderId="5" xfId="2" applyFont="1" applyFill="1" applyBorder="1"/>
    <xf numFmtId="166" fontId="10" fillId="0" borderId="11" xfId="1" applyNumberFormat="1" applyFont="1" applyFill="1" applyBorder="1"/>
    <xf numFmtId="166" fontId="10" fillId="0" borderId="12" xfId="1" applyNumberFormat="1" applyFont="1" applyFill="1" applyBorder="1"/>
    <xf numFmtId="166" fontId="11" fillId="0" borderId="0" xfId="1" applyNumberFormat="1" applyFont="1" applyFill="1" applyBorder="1"/>
    <xf numFmtId="44" fontId="10" fillId="4" borderId="5" xfId="1" applyNumberFormat="1" applyFont="1" applyFill="1" applyBorder="1"/>
    <xf numFmtId="166" fontId="10" fillId="4" borderId="18" xfId="1" applyNumberFormat="1" applyFont="1" applyFill="1" applyBorder="1"/>
    <xf numFmtId="166" fontId="13" fillId="0" borderId="5" xfId="1" applyNumberFormat="1" applyFont="1" applyFill="1" applyBorder="1"/>
    <xf numFmtId="166" fontId="3" fillId="4" borderId="11" xfId="1" applyNumberFormat="1" applyFont="1" applyFill="1" applyBorder="1"/>
    <xf numFmtId="44" fontId="3" fillId="4" borderId="12" xfId="1" applyNumberFormat="1" applyFont="1" applyFill="1" applyBorder="1"/>
    <xf numFmtId="44" fontId="3" fillId="4" borderId="5" xfId="1" applyNumberFormat="1" applyFont="1" applyFill="1" applyBorder="1"/>
    <xf numFmtId="44" fontId="4" fillId="4" borderId="0" xfId="1" applyNumberFormat="1" applyFont="1" applyFill="1" applyBorder="1"/>
    <xf numFmtId="166" fontId="4" fillId="4" borderId="0" xfId="1" applyNumberFormat="1" applyFont="1" applyFill="1"/>
    <xf numFmtId="166" fontId="10" fillId="4" borderId="10" xfId="1" applyNumberFormat="1" applyFont="1" applyFill="1" applyBorder="1"/>
    <xf numFmtId="44" fontId="10" fillId="4" borderId="19" xfId="1" applyNumberFormat="1" applyFont="1" applyFill="1" applyBorder="1"/>
    <xf numFmtId="44" fontId="10" fillId="4" borderId="16" xfId="1" applyNumberFormat="1" applyFont="1" applyFill="1" applyBorder="1"/>
    <xf numFmtId="44" fontId="11" fillId="4" borderId="19" xfId="1" applyNumberFormat="1" applyFont="1" applyFill="1" applyBorder="1"/>
    <xf numFmtId="44" fontId="11" fillId="4" borderId="8" xfId="1" applyNumberFormat="1" applyFont="1" applyFill="1" applyBorder="1"/>
    <xf numFmtId="166" fontId="3" fillId="0" borderId="0" xfId="1" applyNumberFormat="1" applyFont="1"/>
    <xf numFmtId="44" fontId="3" fillId="0" borderId="0" xfId="1" applyNumberFormat="1" applyFont="1"/>
    <xf numFmtId="44" fontId="3" fillId="0" borderId="0" xfId="0" applyNumberFormat="1" applyFont="1"/>
    <xf numFmtId="0" fontId="4" fillId="0" borderId="0" xfId="0" applyFont="1"/>
    <xf numFmtId="44" fontId="4" fillId="0" borderId="0" xfId="0" applyNumberFormat="1" applyFont="1"/>
    <xf numFmtId="165" fontId="7" fillId="0" borderId="6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44" fontId="7" fillId="0" borderId="2" xfId="1" applyFont="1" applyBorder="1" applyAlignment="1">
      <alignment horizontal="center"/>
    </xf>
    <xf numFmtId="44" fontId="7" fillId="0" borderId="3" xfId="1" applyFont="1" applyBorder="1" applyAlignment="1">
      <alignment horizontal="center"/>
    </xf>
  </cellXfs>
  <cellStyles count="3">
    <cellStyle name="Currency" xfId="1" builtinId="4"/>
    <cellStyle name="Normal" xfId="0" builtinId="0"/>
    <cellStyle name="Normal_Fontainebleu Cost Report-December 2008_PC-09feb0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3"/>
  <sheetViews>
    <sheetView tabSelected="1" topLeftCell="A7" zoomScaleNormal="100" workbookViewId="0">
      <selection sqref="A1:K1"/>
    </sheetView>
  </sheetViews>
  <sheetFormatPr defaultRowHeight="15.75" x14ac:dyDescent="0.25"/>
  <cols>
    <col min="1" max="1" width="45" style="1" customWidth="1"/>
    <col min="2" max="2" width="23.5703125" style="1" hidden="1" customWidth="1"/>
    <col min="3" max="3" width="0.7109375" style="1" hidden="1" customWidth="1"/>
    <col min="4" max="4" width="18.5703125" style="1" hidden="1" customWidth="1"/>
    <col min="5" max="5" width="13.28515625" style="1" hidden="1" customWidth="1"/>
    <col min="6" max="6" width="61.28515625" style="1" hidden="1" customWidth="1"/>
    <col min="7" max="7" width="18.5703125" style="1" hidden="1" customWidth="1"/>
    <col min="8" max="8" width="13.5703125" style="1" hidden="1" customWidth="1"/>
    <col min="9" max="9" width="18.5703125" style="1" customWidth="1"/>
    <col min="10" max="10" width="13.5703125" style="1" customWidth="1"/>
    <col min="11" max="11" width="46.28515625" style="97" bestFit="1" customWidth="1"/>
    <col min="12" max="13" width="9.140625" style="1"/>
    <col min="14" max="14" width="15.42578125" style="1" bestFit="1" customWidth="1"/>
    <col min="15" max="15" width="14.140625" style="1" bestFit="1" customWidth="1"/>
    <col min="16" max="16384" width="9.140625" style="1"/>
  </cols>
  <sheetData>
    <row r="1" spans="1:14" ht="20.25" x14ac:dyDescent="0.3">
      <c r="A1" s="101" t="s">
        <v>133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4" spans="1:14" x14ac:dyDescent="0.25">
      <c r="I4" s="2"/>
      <c r="J4" s="2"/>
      <c r="K4" s="3"/>
    </row>
    <row r="5" spans="1:14" x14ac:dyDescent="0.25">
      <c r="A5" s="4" t="s">
        <v>0</v>
      </c>
      <c r="B5" s="102" t="s">
        <v>1</v>
      </c>
      <c r="C5" s="103"/>
      <c r="D5" s="102" t="s">
        <v>2</v>
      </c>
      <c r="E5" s="103"/>
      <c r="F5" s="5" t="s">
        <v>3</v>
      </c>
      <c r="G5" s="104" t="s">
        <v>4</v>
      </c>
      <c r="H5" s="105"/>
      <c r="I5" s="106" t="s">
        <v>5</v>
      </c>
      <c r="J5" s="107"/>
      <c r="K5" s="6" t="s">
        <v>3</v>
      </c>
    </row>
    <row r="6" spans="1:14" x14ac:dyDescent="0.25">
      <c r="A6" s="7"/>
      <c r="B6" s="99">
        <f>250000</f>
        <v>250000</v>
      </c>
      <c r="C6" s="100"/>
      <c r="D6" s="99">
        <f t="shared" ref="D6" si="0">250000</f>
        <v>250000</v>
      </c>
      <c r="E6" s="100"/>
      <c r="F6" s="8"/>
      <c r="G6" s="99">
        <v>263810</v>
      </c>
      <c r="H6" s="100"/>
      <c r="I6" s="99">
        <f>265124+5170</f>
        <v>270294</v>
      </c>
      <c r="J6" s="100"/>
      <c r="K6" s="9"/>
    </row>
    <row r="7" spans="1:14" x14ac:dyDescent="0.25">
      <c r="A7" s="10"/>
      <c r="B7" s="11" t="s">
        <v>6</v>
      </c>
      <c r="C7" s="12" t="s">
        <v>7</v>
      </c>
      <c r="D7" s="13" t="s">
        <v>6</v>
      </c>
      <c r="E7" s="14" t="s">
        <v>7</v>
      </c>
      <c r="F7" s="15"/>
      <c r="G7" s="13" t="s">
        <v>6</v>
      </c>
      <c r="H7" s="14" t="s">
        <v>7</v>
      </c>
      <c r="I7" s="13" t="s">
        <v>6</v>
      </c>
      <c r="J7" s="14" t="s">
        <v>7</v>
      </c>
      <c r="K7" s="16"/>
    </row>
    <row r="8" spans="1:14" x14ac:dyDescent="0.25">
      <c r="A8" s="17" t="s">
        <v>8</v>
      </c>
      <c r="B8" s="18"/>
      <c r="C8" s="19"/>
      <c r="D8" s="20"/>
      <c r="E8" s="21"/>
      <c r="F8" s="22"/>
      <c r="G8" s="20"/>
      <c r="H8" s="21"/>
      <c r="I8" s="20"/>
      <c r="J8" s="21"/>
      <c r="K8" s="22"/>
    </row>
    <row r="9" spans="1:14" x14ac:dyDescent="0.25">
      <c r="A9" s="23" t="s">
        <v>9</v>
      </c>
      <c r="B9" s="24">
        <v>5000000</v>
      </c>
      <c r="C9" s="25">
        <f>B9/$B$6</f>
        <v>20</v>
      </c>
      <c r="D9" s="24">
        <v>5179000</v>
      </c>
      <c r="E9" s="25">
        <f>D9/D6</f>
        <v>20.716000000000001</v>
      </c>
      <c r="F9" s="26" t="s">
        <v>10</v>
      </c>
      <c r="G9" s="24">
        <f>5179000-G11</f>
        <v>2920155.5</v>
      </c>
      <c r="H9" s="25">
        <f>G9/G6</f>
        <v>11.069161517758992</v>
      </c>
      <c r="I9" s="24">
        <f>5179000-I11</f>
        <v>2920155.5</v>
      </c>
      <c r="J9" s="25">
        <f>I9/I6</f>
        <v>10.8036267915677</v>
      </c>
      <c r="K9" s="27" t="s">
        <v>10</v>
      </c>
    </row>
    <row r="10" spans="1:14" x14ac:dyDescent="0.25">
      <c r="A10" s="23" t="s">
        <v>11</v>
      </c>
      <c r="B10" s="24"/>
      <c r="C10" s="25"/>
      <c r="D10" s="24"/>
      <c r="E10" s="28"/>
      <c r="F10" s="27"/>
      <c r="G10" s="24"/>
      <c r="H10" s="28"/>
      <c r="I10" s="24"/>
      <c r="J10" s="28"/>
      <c r="K10" s="27"/>
    </row>
    <row r="11" spans="1:14" x14ac:dyDescent="0.25">
      <c r="A11" s="29" t="s">
        <v>12</v>
      </c>
      <c r="B11" s="24"/>
      <c r="C11" s="25"/>
      <c r="D11" s="24"/>
      <c r="E11" s="28"/>
      <c r="F11" s="27"/>
      <c r="G11" s="24">
        <f>13553067/6</f>
        <v>2258844.5</v>
      </c>
      <c r="H11" s="25">
        <f>G11/G6</f>
        <v>8.5623914938781702</v>
      </c>
      <c r="I11" s="24">
        <f>13553067/6</f>
        <v>2258844.5</v>
      </c>
      <c r="J11" s="25">
        <f>I11/I6</f>
        <v>8.3569909061984351</v>
      </c>
      <c r="K11" s="27" t="s">
        <v>13</v>
      </c>
    </row>
    <row r="12" spans="1:14" x14ac:dyDescent="0.25">
      <c r="A12" s="29"/>
      <c r="B12" s="24"/>
      <c r="C12" s="25"/>
      <c r="D12" s="24"/>
      <c r="E12" s="28"/>
      <c r="F12" s="27"/>
      <c r="G12" s="24"/>
      <c r="H12" s="28"/>
      <c r="I12" s="24"/>
      <c r="J12" s="28"/>
      <c r="K12" s="27"/>
    </row>
    <row r="13" spans="1:14" x14ac:dyDescent="0.25">
      <c r="A13" s="30"/>
      <c r="B13" s="24"/>
      <c r="C13" s="25"/>
      <c r="D13" s="24"/>
      <c r="E13" s="28"/>
      <c r="F13" s="27"/>
      <c r="G13" s="24"/>
      <c r="H13" s="28"/>
      <c r="I13" s="24"/>
      <c r="J13" s="28"/>
      <c r="K13" s="27"/>
    </row>
    <row r="14" spans="1:14" x14ac:dyDescent="0.25">
      <c r="A14" s="31" t="s">
        <v>14</v>
      </c>
      <c r="B14" s="32">
        <f t="shared" ref="B14" si="1">SUM(B9:B13)</f>
        <v>5000000</v>
      </c>
      <c r="C14" s="33">
        <f>SUM(C9:C13)</f>
        <v>20</v>
      </c>
      <c r="D14" s="32">
        <f>SUM(D9:D13)</f>
        <v>5179000</v>
      </c>
      <c r="E14" s="33">
        <f>SUM(E9:E13)</f>
        <v>20.716000000000001</v>
      </c>
      <c r="F14" s="34"/>
      <c r="G14" s="32">
        <f>SUM(G9:G13)</f>
        <v>5179000</v>
      </c>
      <c r="H14" s="33">
        <f>SUM(H9:H13)</f>
        <v>19.631553011637163</v>
      </c>
      <c r="I14" s="32">
        <f>SUM(I9:I13)</f>
        <v>5179000</v>
      </c>
      <c r="J14" s="33">
        <f>SUM(J9:J13)</f>
        <v>19.160617697766135</v>
      </c>
      <c r="K14" s="35"/>
      <c r="N14" s="36"/>
    </row>
    <row r="15" spans="1:14" x14ac:dyDescent="0.25">
      <c r="A15" s="37"/>
      <c r="B15" s="38"/>
      <c r="C15" s="39"/>
      <c r="D15" s="38"/>
      <c r="E15" s="39"/>
      <c r="F15" s="16"/>
      <c r="G15" s="38"/>
      <c r="H15" s="39"/>
      <c r="I15" s="38"/>
      <c r="J15" s="39"/>
      <c r="K15" s="16"/>
    </row>
    <row r="16" spans="1:14" x14ac:dyDescent="0.25">
      <c r="A16" s="40" t="s">
        <v>15</v>
      </c>
      <c r="B16" s="20"/>
      <c r="C16" s="21"/>
      <c r="D16" s="20"/>
      <c r="E16" s="21"/>
      <c r="F16" s="22"/>
      <c r="G16" s="20"/>
      <c r="H16" s="21"/>
      <c r="I16" s="20"/>
      <c r="J16" s="21"/>
      <c r="K16" s="22"/>
    </row>
    <row r="17" spans="1:15" x14ac:dyDescent="0.25">
      <c r="A17" s="41" t="s">
        <v>16</v>
      </c>
      <c r="B17" s="42">
        <v>21500000</v>
      </c>
      <c r="C17" s="43">
        <f>B17/$B$6</f>
        <v>86</v>
      </c>
      <c r="D17" s="42">
        <v>21500000</v>
      </c>
      <c r="E17" s="43">
        <f>D17/$D$6</f>
        <v>86</v>
      </c>
      <c r="F17" s="44" t="s">
        <v>17</v>
      </c>
      <c r="G17" s="42">
        <v>27356749</v>
      </c>
      <c r="H17" s="43">
        <f>G17/G6</f>
        <v>103.6986808688071</v>
      </c>
      <c r="I17" s="42">
        <v>38760311</v>
      </c>
      <c r="J17" s="43">
        <f>I17/I6</f>
        <v>143.40056013082051</v>
      </c>
      <c r="K17" s="45"/>
      <c r="O17" s="36"/>
    </row>
    <row r="18" spans="1:15" x14ac:dyDescent="0.25">
      <c r="A18" s="41" t="s">
        <v>18</v>
      </c>
      <c r="B18" s="42">
        <v>300000</v>
      </c>
      <c r="C18" s="43">
        <f t="shared" ref="C18:C20" si="2">B18/$B$6</f>
        <v>1.2</v>
      </c>
      <c r="D18" s="42">
        <v>300000</v>
      </c>
      <c r="E18" s="43">
        <f>D18/$D$6</f>
        <v>1.2</v>
      </c>
      <c r="F18" s="44" t="s">
        <v>17</v>
      </c>
      <c r="G18" s="42">
        <v>0</v>
      </c>
      <c r="H18" s="46">
        <f>G18/G6</f>
        <v>0</v>
      </c>
      <c r="I18" s="42">
        <v>0</v>
      </c>
      <c r="J18" s="46">
        <f>I18/I6</f>
        <v>0</v>
      </c>
      <c r="K18" s="45"/>
    </row>
    <row r="19" spans="1:15" x14ac:dyDescent="0.25">
      <c r="A19" s="41" t="s">
        <v>19</v>
      </c>
      <c r="B19" s="38">
        <v>0</v>
      </c>
      <c r="C19" s="43">
        <f t="shared" si="2"/>
        <v>0</v>
      </c>
      <c r="D19" s="38"/>
      <c r="E19" s="43"/>
      <c r="F19" s="44"/>
      <c r="G19" s="38">
        <v>2181071</v>
      </c>
      <c r="H19" s="47">
        <f>G19/G6</f>
        <v>8.2675827299950715</v>
      </c>
      <c r="I19" s="38">
        <v>0</v>
      </c>
      <c r="J19" s="47">
        <f>I19/I6</f>
        <v>0</v>
      </c>
      <c r="K19" s="16"/>
    </row>
    <row r="20" spans="1:15" x14ac:dyDescent="0.25">
      <c r="A20" s="41" t="s">
        <v>20</v>
      </c>
      <c r="B20" s="38">
        <v>6800000</v>
      </c>
      <c r="C20" s="43">
        <f t="shared" si="2"/>
        <v>27.2</v>
      </c>
      <c r="D20" s="38">
        <v>9500000</v>
      </c>
      <c r="E20" s="43">
        <f>D20/$D$6</f>
        <v>38</v>
      </c>
      <c r="F20" s="44" t="s">
        <v>17</v>
      </c>
      <c r="G20" s="38">
        <v>9879385</v>
      </c>
      <c r="H20" s="47">
        <f>G20/G6</f>
        <v>37.448864713240589</v>
      </c>
      <c r="I20" s="38">
        <v>0</v>
      </c>
      <c r="J20" s="47">
        <f>I20/I6</f>
        <v>0</v>
      </c>
      <c r="K20" s="16" t="s">
        <v>132</v>
      </c>
    </row>
    <row r="21" spans="1:15" x14ac:dyDescent="0.25">
      <c r="A21" s="48"/>
      <c r="B21" s="49"/>
      <c r="C21" s="50"/>
      <c r="D21" s="49"/>
      <c r="E21" s="50"/>
      <c r="F21" s="51"/>
      <c r="G21" s="49"/>
      <c r="H21" s="50"/>
      <c r="I21" s="49"/>
      <c r="J21" s="50"/>
      <c r="K21" s="51"/>
      <c r="N21" s="36"/>
      <c r="O21" s="36"/>
    </row>
    <row r="22" spans="1:15" x14ac:dyDescent="0.25">
      <c r="A22" s="52" t="s">
        <v>21</v>
      </c>
      <c r="B22" s="20"/>
      <c r="C22" s="21"/>
      <c r="D22" s="20"/>
      <c r="E22" s="21"/>
      <c r="F22" s="22"/>
      <c r="G22" s="20"/>
      <c r="H22" s="21"/>
      <c r="I22" s="20"/>
      <c r="J22" s="21"/>
      <c r="K22" s="22"/>
    </row>
    <row r="23" spans="1:15" x14ac:dyDescent="0.25">
      <c r="A23" s="41" t="s">
        <v>22</v>
      </c>
      <c r="B23" s="42">
        <v>100000</v>
      </c>
      <c r="C23" s="43">
        <f>B23/$B$6</f>
        <v>0.4</v>
      </c>
      <c r="D23" s="42">
        <v>100000</v>
      </c>
      <c r="E23" s="43">
        <f>D23/$D$6</f>
        <v>0.4</v>
      </c>
      <c r="F23" s="44" t="s">
        <v>23</v>
      </c>
      <c r="G23" s="42">
        <v>100000</v>
      </c>
      <c r="H23" s="43">
        <f>G23/G6</f>
        <v>0.37906068761608736</v>
      </c>
      <c r="I23" s="42">
        <v>100000</v>
      </c>
      <c r="J23" s="43">
        <f>I23/I6</f>
        <v>0.36996751685202039</v>
      </c>
      <c r="K23" s="45" t="s">
        <v>23</v>
      </c>
    </row>
    <row r="24" spans="1:15" x14ac:dyDescent="0.25">
      <c r="A24" s="41" t="s">
        <v>24</v>
      </c>
      <c r="B24" s="38">
        <v>50000</v>
      </c>
      <c r="C24" s="43">
        <f t="shared" ref="C24:C30" si="3">B24/$B$6</f>
        <v>0.2</v>
      </c>
      <c r="D24" s="38">
        <v>50000</v>
      </c>
      <c r="E24" s="43">
        <f>D24/$D$6</f>
        <v>0.2</v>
      </c>
      <c r="F24" s="44" t="s">
        <v>25</v>
      </c>
      <c r="G24" s="38">
        <v>50000</v>
      </c>
      <c r="H24" s="47">
        <f>G24/G6</f>
        <v>0.18953034380804368</v>
      </c>
      <c r="I24" s="38">
        <v>50000</v>
      </c>
      <c r="J24" s="47">
        <f>I24/I6</f>
        <v>0.1849837584260102</v>
      </c>
      <c r="K24" s="16" t="s">
        <v>25</v>
      </c>
    </row>
    <row r="25" spans="1:15" x14ac:dyDescent="0.25">
      <c r="A25" s="41" t="s">
        <v>26</v>
      </c>
      <c r="B25" s="38"/>
      <c r="C25" s="43"/>
      <c r="D25" s="38"/>
      <c r="E25" s="39"/>
      <c r="F25" s="16"/>
      <c r="G25" s="38"/>
      <c r="H25" s="39"/>
      <c r="I25" s="38"/>
      <c r="J25" s="39"/>
      <c r="K25" s="16"/>
    </row>
    <row r="26" spans="1:15" x14ac:dyDescent="0.25">
      <c r="A26" s="41" t="s">
        <v>27</v>
      </c>
      <c r="B26" s="38"/>
      <c r="C26" s="43"/>
      <c r="D26" s="38"/>
      <c r="E26" s="39"/>
      <c r="F26" s="16"/>
      <c r="G26" s="38"/>
      <c r="H26" s="39"/>
      <c r="I26" s="38"/>
      <c r="J26" s="39"/>
      <c r="K26" s="16" t="s">
        <v>28</v>
      </c>
    </row>
    <row r="27" spans="1:15" x14ac:dyDescent="0.25">
      <c r="A27" s="41" t="s">
        <v>29</v>
      </c>
      <c r="B27" s="38"/>
      <c r="C27" s="43"/>
      <c r="D27" s="38"/>
      <c r="E27" s="39"/>
      <c r="F27" s="16"/>
      <c r="G27" s="38"/>
      <c r="H27" s="39"/>
      <c r="I27" s="38"/>
      <c r="J27" s="39"/>
      <c r="K27" s="16"/>
    </row>
    <row r="28" spans="1:15" x14ac:dyDescent="0.25">
      <c r="A28" s="41" t="s">
        <v>29</v>
      </c>
      <c r="B28" s="38"/>
      <c r="C28" s="43"/>
      <c r="D28" s="38"/>
      <c r="E28" s="39"/>
      <c r="F28" s="16"/>
      <c r="G28" s="38"/>
      <c r="H28" s="39"/>
      <c r="I28" s="38"/>
      <c r="J28" s="39"/>
      <c r="K28" s="16"/>
    </row>
    <row r="29" spans="1:15" x14ac:dyDescent="0.25">
      <c r="A29" s="41"/>
      <c r="B29" s="38"/>
      <c r="C29" s="43"/>
      <c r="D29" s="38"/>
      <c r="E29" s="39"/>
      <c r="F29" s="16"/>
      <c r="G29" s="38"/>
      <c r="H29" s="39"/>
      <c r="I29" s="38"/>
      <c r="J29" s="39"/>
      <c r="K29" s="16"/>
    </row>
    <row r="30" spans="1:15" x14ac:dyDescent="0.25">
      <c r="A30" s="41" t="s">
        <v>30</v>
      </c>
      <c r="B30" s="38">
        <v>0</v>
      </c>
      <c r="C30" s="43">
        <f t="shared" si="3"/>
        <v>0</v>
      </c>
      <c r="D30" s="38">
        <v>0</v>
      </c>
      <c r="E30" s="39">
        <f>D30/D6</f>
        <v>0</v>
      </c>
      <c r="F30" s="16"/>
      <c r="G30" s="53">
        <f>3%*SUM(G17:G22)</f>
        <v>1182516.1499999999</v>
      </c>
      <c r="H30" s="47">
        <f>G30/G6</f>
        <v>4.4824538493612822</v>
      </c>
      <c r="I30" s="38">
        <v>1000000</v>
      </c>
      <c r="J30" s="47">
        <f>I30/I6</f>
        <v>3.6996751685202041</v>
      </c>
      <c r="K30" s="16" t="s">
        <v>31</v>
      </c>
    </row>
    <row r="31" spans="1:15" x14ac:dyDescent="0.25">
      <c r="A31" s="54"/>
      <c r="B31" s="38"/>
      <c r="C31" s="39"/>
      <c r="D31" s="38"/>
      <c r="E31" s="39"/>
      <c r="F31" s="16"/>
      <c r="G31" s="38"/>
      <c r="H31" s="39"/>
      <c r="I31" s="38"/>
      <c r="J31" s="39"/>
      <c r="K31" s="16"/>
    </row>
    <row r="32" spans="1:15" x14ac:dyDescent="0.25">
      <c r="A32" s="55" t="s">
        <v>32</v>
      </c>
      <c r="B32" s="56">
        <f>SUM(B16:B31)</f>
        <v>28750000</v>
      </c>
      <c r="C32" s="57">
        <f>SUM(C17:C31)</f>
        <v>115.00000000000001</v>
      </c>
      <c r="D32" s="56">
        <f>SUM(D16:D31)</f>
        <v>31450000</v>
      </c>
      <c r="E32" s="57">
        <f>SUM(E16:E31)</f>
        <v>125.80000000000001</v>
      </c>
      <c r="F32" s="58"/>
      <c r="G32" s="56">
        <f>SUM(G16:G31)</f>
        <v>40749721.149999999</v>
      </c>
      <c r="H32" s="57">
        <f>SUM(H16:H31)</f>
        <v>154.46617319282817</v>
      </c>
      <c r="I32" s="56">
        <f>SUM(I16:I31)</f>
        <v>39910311</v>
      </c>
      <c r="J32" s="57">
        <f>SUM(J16:J31)</f>
        <v>147.65518657461874</v>
      </c>
      <c r="K32" s="59"/>
    </row>
    <row r="33" spans="1:11" x14ac:dyDescent="0.25">
      <c r="A33" s="37"/>
      <c r="B33" s="38"/>
      <c r="C33" s="39"/>
      <c r="D33" s="38"/>
      <c r="E33" s="39"/>
      <c r="F33" s="16"/>
      <c r="G33" s="38"/>
      <c r="H33" s="39"/>
      <c r="I33" s="38"/>
      <c r="J33" s="39"/>
      <c r="K33" s="16"/>
    </row>
    <row r="34" spans="1:11" x14ac:dyDescent="0.25">
      <c r="A34" s="60" t="s">
        <v>33</v>
      </c>
      <c r="B34" s="61"/>
      <c r="C34" s="62"/>
      <c r="D34" s="61"/>
      <c r="E34" s="62"/>
      <c r="F34" s="63"/>
      <c r="G34" s="61"/>
      <c r="H34" s="62"/>
      <c r="I34" s="61"/>
      <c r="J34" s="62"/>
      <c r="K34" s="63"/>
    </row>
    <row r="35" spans="1:11" x14ac:dyDescent="0.25">
      <c r="A35" s="64"/>
      <c r="B35" s="65"/>
      <c r="C35" s="66"/>
      <c r="D35" s="65"/>
      <c r="E35" s="66"/>
      <c r="F35" s="67"/>
      <c r="G35" s="65"/>
      <c r="H35" s="66"/>
      <c r="I35" s="65"/>
      <c r="J35" s="66"/>
      <c r="K35" s="67"/>
    </row>
    <row r="36" spans="1:11" x14ac:dyDescent="0.25">
      <c r="A36" s="60" t="s">
        <v>34</v>
      </c>
      <c r="B36" s="61"/>
      <c r="C36" s="62"/>
      <c r="D36" s="61"/>
      <c r="E36" s="62"/>
      <c r="F36" s="63"/>
      <c r="G36" s="61"/>
      <c r="H36" s="62"/>
      <c r="I36" s="61"/>
      <c r="J36" s="62"/>
      <c r="K36" s="63"/>
    </row>
    <row r="37" spans="1:11" x14ac:dyDescent="0.25">
      <c r="A37" s="23" t="s">
        <v>35</v>
      </c>
      <c r="B37" s="42">
        <v>1000000</v>
      </c>
      <c r="C37" s="43">
        <f>B37/$B$6</f>
        <v>4</v>
      </c>
      <c r="D37" s="42">
        <v>825000</v>
      </c>
      <c r="E37" s="43">
        <f>D37/$D$6</f>
        <v>3.3</v>
      </c>
      <c r="F37" s="44" t="s">
        <v>36</v>
      </c>
      <c r="G37" s="42">
        <f>875000*1.1</f>
        <v>962500.00000000012</v>
      </c>
      <c r="H37" s="43">
        <f t="shared" ref="H37:H54" si="4">G37/$G$6</f>
        <v>3.6484591183048409</v>
      </c>
      <c r="I37" s="42">
        <v>1390750</v>
      </c>
      <c r="J37" s="43">
        <f>I37/$I$6</f>
        <v>5.145323240619474</v>
      </c>
      <c r="K37" s="45" t="s">
        <v>37</v>
      </c>
    </row>
    <row r="38" spans="1:11" x14ac:dyDescent="0.25">
      <c r="A38" s="23" t="s">
        <v>38</v>
      </c>
      <c r="B38" s="24"/>
      <c r="C38" s="28"/>
      <c r="D38" s="24"/>
      <c r="E38" s="43"/>
      <c r="F38" s="44"/>
      <c r="G38" s="24"/>
      <c r="H38" s="43"/>
      <c r="I38" s="24"/>
      <c r="J38" s="43"/>
      <c r="K38" s="27"/>
    </row>
    <row r="39" spans="1:11" x14ac:dyDescent="0.25">
      <c r="A39" s="23" t="s">
        <v>39</v>
      </c>
      <c r="B39" s="42"/>
      <c r="C39" s="46"/>
      <c r="D39" s="42">
        <v>87500</v>
      </c>
      <c r="E39" s="43">
        <f t="shared" ref="E39:E55" si="5">D39/$D$6</f>
        <v>0.35</v>
      </c>
      <c r="F39" s="44" t="s">
        <v>36</v>
      </c>
      <c r="G39" s="42">
        <f>72500*1.1</f>
        <v>79750</v>
      </c>
      <c r="H39" s="43">
        <f t="shared" si="4"/>
        <v>0.30230089837382967</v>
      </c>
      <c r="I39" s="42">
        <f>72500*1.1</f>
        <v>79750</v>
      </c>
      <c r="J39" s="43">
        <f t="shared" ref="J39:J57" si="6">I39/$I$6</f>
        <v>0.29504909468948626</v>
      </c>
      <c r="K39" s="45" t="s">
        <v>40</v>
      </c>
    </row>
    <row r="40" spans="1:11" x14ac:dyDescent="0.25">
      <c r="A40" s="23" t="s">
        <v>41</v>
      </c>
      <c r="B40" s="42"/>
      <c r="C40" s="46"/>
      <c r="D40" s="42">
        <v>50000</v>
      </c>
      <c r="E40" s="43">
        <f t="shared" si="5"/>
        <v>0.2</v>
      </c>
      <c r="F40" s="44" t="s">
        <v>36</v>
      </c>
      <c r="G40" s="68">
        <v>50000</v>
      </c>
      <c r="H40" s="43">
        <f t="shared" si="4"/>
        <v>0.18953034380804368</v>
      </c>
      <c r="I40" s="68">
        <v>50000</v>
      </c>
      <c r="J40" s="43">
        <f t="shared" si="6"/>
        <v>0.1849837584260102</v>
      </c>
      <c r="K40" s="45" t="s">
        <v>42</v>
      </c>
    </row>
    <row r="41" spans="1:11" x14ac:dyDescent="0.25">
      <c r="A41" s="23" t="s">
        <v>43</v>
      </c>
      <c r="B41" s="24"/>
      <c r="C41" s="28"/>
      <c r="D41" s="24">
        <f>141300</f>
        <v>141300</v>
      </c>
      <c r="E41" s="43">
        <f t="shared" si="5"/>
        <v>0.56520000000000004</v>
      </c>
      <c r="F41" s="44" t="s">
        <v>36</v>
      </c>
      <c r="G41" s="24">
        <f>105000*1.1</f>
        <v>115500.00000000001</v>
      </c>
      <c r="H41" s="43">
        <f t="shared" si="4"/>
        <v>0.43781509419658093</v>
      </c>
      <c r="I41" s="24">
        <f>105000*1.1</f>
        <v>115500.00000000001</v>
      </c>
      <c r="J41" s="43">
        <f t="shared" si="6"/>
        <v>0.42731248196408361</v>
      </c>
      <c r="K41" s="27" t="s">
        <v>37</v>
      </c>
    </row>
    <row r="42" spans="1:11" x14ac:dyDescent="0.25">
      <c r="A42" s="23" t="s">
        <v>44</v>
      </c>
      <c r="B42" s="24"/>
      <c r="C42" s="28"/>
      <c r="D42" s="24"/>
      <c r="E42" s="43"/>
      <c r="F42" s="44"/>
      <c r="G42" s="24">
        <f>138600*1.1</f>
        <v>152460</v>
      </c>
      <c r="H42" s="43">
        <f t="shared" si="4"/>
        <v>0.5779159243394868</v>
      </c>
      <c r="I42" s="24">
        <f>138600*1.1</f>
        <v>152460</v>
      </c>
      <c r="J42" s="43">
        <f t="shared" si="6"/>
        <v>0.56405247619259025</v>
      </c>
      <c r="K42" s="27" t="s">
        <v>37</v>
      </c>
    </row>
    <row r="43" spans="1:11" x14ac:dyDescent="0.25">
      <c r="A43" s="23" t="s">
        <v>45</v>
      </c>
      <c r="B43" s="24"/>
      <c r="C43" s="28"/>
      <c r="D43" s="24">
        <v>60250</v>
      </c>
      <c r="E43" s="43">
        <f t="shared" si="5"/>
        <v>0.24099999999999999</v>
      </c>
      <c r="F43" s="44" t="s">
        <v>36</v>
      </c>
      <c r="G43" s="24">
        <f>120500*1.1</f>
        <v>132550</v>
      </c>
      <c r="H43" s="43">
        <f t="shared" si="4"/>
        <v>0.50244494143512375</v>
      </c>
      <c r="I43" s="24">
        <f>120500*1.1</f>
        <v>132550</v>
      </c>
      <c r="J43" s="43">
        <f t="shared" si="6"/>
        <v>0.49039194358735305</v>
      </c>
      <c r="K43" s="27" t="s">
        <v>37</v>
      </c>
    </row>
    <row r="44" spans="1:11" x14ac:dyDescent="0.25">
      <c r="A44" s="23" t="s">
        <v>46</v>
      </c>
      <c r="B44" s="24"/>
      <c r="C44" s="28"/>
      <c r="D44" s="24">
        <v>60000</v>
      </c>
      <c r="E44" s="43">
        <f t="shared" si="5"/>
        <v>0.24</v>
      </c>
      <c r="F44" s="44" t="s">
        <v>36</v>
      </c>
      <c r="G44" s="24">
        <f>60000*1.1</f>
        <v>66000</v>
      </c>
      <c r="H44" s="43">
        <f t="shared" si="4"/>
        <v>0.25018005382661762</v>
      </c>
      <c r="I44" s="24">
        <f>60000*1.1</f>
        <v>66000</v>
      </c>
      <c r="J44" s="43">
        <f t="shared" si="6"/>
        <v>0.24417856112233347</v>
      </c>
      <c r="K44" s="27" t="s">
        <v>37</v>
      </c>
    </row>
    <row r="45" spans="1:11" x14ac:dyDescent="0.25">
      <c r="A45" s="23" t="s">
        <v>47</v>
      </c>
      <c r="B45" s="24"/>
      <c r="C45" s="28"/>
      <c r="D45" s="24"/>
      <c r="E45" s="43"/>
      <c r="F45" s="44"/>
      <c r="G45" s="24"/>
      <c r="H45" s="43"/>
      <c r="I45" s="24"/>
      <c r="J45" s="43"/>
      <c r="K45" s="27"/>
    </row>
    <row r="46" spans="1:11" x14ac:dyDescent="0.25">
      <c r="A46" s="23" t="s">
        <v>48</v>
      </c>
      <c r="B46" s="24"/>
      <c r="C46" s="28"/>
      <c r="D46" s="24"/>
      <c r="E46" s="43"/>
      <c r="F46" s="44"/>
      <c r="G46" s="24">
        <v>25000</v>
      </c>
      <c r="H46" s="43">
        <f t="shared" si="4"/>
        <v>9.4765171904021839E-2</v>
      </c>
      <c r="I46" s="24">
        <v>25000</v>
      </c>
      <c r="J46" s="43">
        <f t="shared" si="6"/>
        <v>9.2491879213005099E-2</v>
      </c>
      <c r="K46" s="27" t="s">
        <v>23</v>
      </c>
    </row>
    <row r="47" spans="1:11" x14ac:dyDescent="0.25">
      <c r="A47" s="23" t="s">
        <v>49</v>
      </c>
      <c r="B47" s="24"/>
      <c r="C47" s="28"/>
      <c r="D47" s="24"/>
      <c r="E47" s="43"/>
      <c r="F47" s="44"/>
      <c r="G47" s="24">
        <f>13400*1.1</f>
        <v>14740.000000000002</v>
      </c>
      <c r="H47" s="43">
        <f t="shared" si="4"/>
        <v>5.5873545354611281E-2</v>
      </c>
      <c r="I47" s="24">
        <f>13400*1.1</f>
        <v>14740.000000000002</v>
      </c>
      <c r="J47" s="43">
        <f t="shared" si="6"/>
        <v>5.4533211983987813E-2</v>
      </c>
      <c r="K47" s="27" t="s">
        <v>50</v>
      </c>
    </row>
    <row r="48" spans="1:11" x14ac:dyDescent="0.25">
      <c r="A48" s="23" t="s">
        <v>51</v>
      </c>
      <c r="B48" s="24"/>
      <c r="C48" s="28"/>
      <c r="D48" s="24"/>
      <c r="E48" s="43"/>
      <c r="F48" s="44"/>
      <c r="G48" s="24">
        <v>20000</v>
      </c>
      <c r="H48" s="43">
        <f t="shared" si="4"/>
        <v>7.5812137523217471E-2</v>
      </c>
      <c r="I48" s="24">
        <v>20000</v>
      </c>
      <c r="J48" s="43">
        <f t="shared" si="6"/>
        <v>7.3993503370404085E-2</v>
      </c>
      <c r="K48" s="27" t="s">
        <v>23</v>
      </c>
    </row>
    <row r="49" spans="1:11" x14ac:dyDescent="0.25">
      <c r="A49" s="23" t="s">
        <v>52</v>
      </c>
      <c r="B49" s="24"/>
      <c r="C49" s="28"/>
      <c r="D49" s="24"/>
      <c r="E49" s="43"/>
      <c r="F49" s="44"/>
      <c r="G49" s="24"/>
      <c r="H49" s="43"/>
      <c r="I49" s="24"/>
      <c r="J49" s="43"/>
      <c r="K49" s="27"/>
    </row>
    <row r="50" spans="1:11" x14ac:dyDescent="0.25">
      <c r="A50" s="23" t="s">
        <v>53</v>
      </c>
      <c r="B50" s="42"/>
      <c r="C50" s="46"/>
      <c r="D50" s="42"/>
      <c r="E50" s="43"/>
      <c r="F50" s="44"/>
      <c r="G50" s="42">
        <v>20000</v>
      </c>
      <c r="H50" s="43">
        <f t="shared" si="4"/>
        <v>7.5812137523217471E-2</v>
      </c>
      <c r="I50" s="42">
        <v>20000</v>
      </c>
      <c r="J50" s="43">
        <f t="shared" si="6"/>
        <v>7.3993503370404085E-2</v>
      </c>
      <c r="K50" s="45"/>
    </row>
    <row r="51" spans="1:11" x14ac:dyDescent="0.25">
      <c r="A51" s="23" t="s">
        <v>54</v>
      </c>
      <c r="B51" s="42"/>
      <c r="C51" s="46"/>
      <c r="D51" s="42"/>
      <c r="E51" s="43"/>
      <c r="F51" s="44"/>
      <c r="G51" s="42">
        <v>15000</v>
      </c>
      <c r="H51" s="43">
        <f t="shared" si="4"/>
        <v>5.6859103142413103E-2</v>
      </c>
      <c r="I51" s="42">
        <v>15000</v>
      </c>
      <c r="J51" s="43">
        <f t="shared" si="6"/>
        <v>5.5495127527803056E-2</v>
      </c>
      <c r="K51" s="45" t="s">
        <v>23</v>
      </c>
    </row>
    <row r="52" spans="1:11" x14ac:dyDescent="0.25">
      <c r="A52" s="23" t="s">
        <v>55</v>
      </c>
      <c r="B52" s="24"/>
      <c r="C52" s="28"/>
      <c r="D52" s="24"/>
      <c r="E52" s="43"/>
      <c r="F52" s="44"/>
      <c r="G52" s="24">
        <f>(18000+62000)*1.1</f>
        <v>88000</v>
      </c>
      <c r="H52" s="43">
        <f t="shared" si="4"/>
        <v>0.33357340510215683</v>
      </c>
      <c r="I52" s="24">
        <f>(18000+62000)*1.1</f>
        <v>88000</v>
      </c>
      <c r="J52" s="43">
        <f t="shared" si="6"/>
        <v>0.32557141482977797</v>
      </c>
      <c r="K52" s="27" t="s">
        <v>56</v>
      </c>
    </row>
    <row r="53" spans="1:11" x14ac:dyDescent="0.25">
      <c r="A53" s="23" t="s">
        <v>57</v>
      </c>
      <c r="B53" s="24"/>
      <c r="C53" s="28"/>
      <c r="D53" s="24"/>
      <c r="E53" s="43"/>
      <c r="F53" s="44"/>
      <c r="G53" s="24">
        <v>63000</v>
      </c>
      <c r="H53" s="43">
        <f t="shared" si="4"/>
        <v>0.23880823319813502</v>
      </c>
      <c r="I53" s="24">
        <v>63000</v>
      </c>
      <c r="J53" s="43">
        <f t="shared" si="6"/>
        <v>0.23307953561677286</v>
      </c>
      <c r="K53" s="27" t="s">
        <v>58</v>
      </c>
    </row>
    <row r="54" spans="1:11" x14ac:dyDescent="0.25">
      <c r="A54" s="23" t="s">
        <v>59</v>
      </c>
      <c r="B54" s="24"/>
      <c r="C54" s="28"/>
      <c r="D54" s="24"/>
      <c r="E54" s="43"/>
      <c r="F54" s="44"/>
      <c r="G54" s="24">
        <v>5000</v>
      </c>
      <c r="H54" s="43">
        <f t="shared" si="4"/>
        <v>1.8953034380804368E-2</v>
      </c>
      <c r="I54" s="24">
        <v>5000</v>
      </c>
      <c r="J54" s="43">
        <f t="shared" si="6"/>
        <v>1.8498375842601021E-2</v>
      </c>
      <c r="K54" s="27" t="s">
        <v>23</v>
      </c>
    </row>
    <row r="55" spans="1:11" x14ac:dyDescent="0.25">
      <c r="A55" s="23" t="s">
        <v>60</v>
      </c>
      <c r="B55" s="24"/>
      <c r="C55" s="28"/>
      <c r="D55" s="24">
        <v>40000</v>
      </c>
      <c r="E55" s="43">
        <f t="shared" si="5"/>
        <v>0.16</v>
      </c>
      <c r="F55" s="44" t="s">
        <v>23</v>
      </c>
      <c r="G55" s="24">
        <f>(18000+13000-9000+8500)+12092</f>
        <v>42592</v>
      </c>
      <c r="H55" s="43">
        <f>G55/$G$6</f>
        <v>0.16144952806944393</v>
      </c>
      <c r="I55" s="24">
        <f>(18000+13000-9000+8500)+12092</f>
        <v>42592</v>
      </c>
      <c r="J55" s="43">
        <f t="shared" si="6"/>
        <v>0.15757656477761253</v>
      </c>
      <c r="K55" s="27" t="s">
        <v>61</v>
      </c>
    </row>
    <row r="56" spans="1:11" x14ac:dyDescent="0.25">
      <c r="A56" s="23" t="s">
        <v>62</v>
      </c>
      <c r="B56" s="24">
        <v>12500</v>
      </c>
      <c r="C56" s="25">
        <f>B56/$B$6</f>
        <v>0.05</v>
      </c>
      <c r="D56" s="24"/>
      <c r="E56" s="43"/>
      <c r="F56" s="44"/>
      <c r="G56" s="24"/>
      <c r="H56" s="43"/>
      <c r="I56" s="24">
        <v>105592</v>
      </c>
      <c r="J56" s="43"/>
      <c r="K56" s="27"/>
    </row>
    <row r="57" spans="1:11" x14ac:dyDescent="0.25">
      <c r="A57" s="29" t="s">
        <v>63</v>
      </c>
      <c r="B57" s="24"/>
      <c r="C57" s="28"/>
      <c r="D57" s="24"/>
      <c r="E57" s="43"/>
      <c r="F57" s="44"/>
      <c r="G57" s="24">
        <v>30000</v>
      </c>
      <c r="H57" s="43">
        <f>G57/$G$6</f>
        <v>0.11371820628482621</v>
      </c>
      <c r="I57" s="24">
        <v>30000</v>
      </c>
      <c r="J57" s="43">
        <f t="shared" si="6"/>
        <v>0.11099025505560611</v>
      </c>
      <c r="K57" s="27"/>
    </row>
    <row r="58" spans="1:11" x14ac:dyDescent="0.25">
      <c r="A58" s="69" t="s">
        <v>64</v>
      </c>
      <c r="B58" s="70">
        <f>SUM(B36:B57)</f>
        <v>1012500</v>
      </c>
      <c r="C58" s="71">
        <f>SUM(C37:C57)</f>
        <v>4.05</v>
      </c>
      <c r="D58" s="70">
        <f>SUM(D34:D57)</f>
        <v>1264050</v>
      </c>
      <c r="E58" s="71">
        <f>SUM(E36:E57)</f>
        <v>5.0562000000000005</v>
      </c>
      <c r="F58" s="72"/>
      <c r="G58" s="70">
        <f>SUM(G36:G57)</f>
        <v>1882092</v>
      </c>
      <c r="H58" s="71">
        <f>SUM(H36:H57)</f>
        <v>7.1342708767673715</v>
      </c>
      <c r="I58" s="70">
        <f>SUM(I36:I57)</f>
        <v>2415934</v>
      </c>
      <c r="J58" s="71">
        <f>SUM(J36:J57)</f>
        <v>8.5475149281893028</v>
      </c>
      <c r="K58" s="73"/>
    </row>
    <row r="59" spans="1:11" x14ac:dyDescent="0.25">
      <c r="A59" s="74"/>
      <c r="B59" s="24"/>
      <c r="C59" s="28"/>
      <c r="D59" s="24"/>
      <c r="E59" s="28"/>
      <c r="F59" s="27"/>
      <c r="G59" s="24"/>
      <c r="H59" s="28"/>
      <c r="I59" s="24"/>
      <c r="J59" s="28"/>
      <c r="K59" s="27"/>
    </row>
    <row r="60" spans="1:11" x14ac:dyDescent="0.25">
      <c r="A60" s="60" t="s">
        <v>65</v>
      </c>
      <c r="B60" s="61"/>
      <c r="C60" s="62"/>
      <c r="D60" s="61"/>
      <c r="E60" s="62"/>
      <c r="F60" s="63"/>
      <c r="G60" s="61"/>
      <c r="H60" s="62"/>
      <c r="I60" s="61"/>
      <c r="J60" s="62"/>
      <c r="K60" s="63"/>
    </row>
    <row r="61" spans="1:11" x14ac:dyDescent="0.25">
      <c r="A61" s="23" t="s">
        <v>66</v>
      </c>
      <c r="B61" s="24"/>
      <c r="C61" s="28"/>
      <c r="D61" s="24"/>
      <c r="E61" s="28"/>
      <c r="F61" s="27"/>
      <c r="G61" s="24"/>
      <c r="H61" s="28"/>
      <c r="I61" s="24"/>
      <c r="J61" s="28"/>
      <c r="K61" s="27"/>
    </row>
    <row r="62" spans="1:11" x14ac:dyDescent="0.25">
      <c r="A62" s="23" t="s">
        <v>67</v>
      </c>
      <c r="B62" s="42">
        <v>400000</v>
      </c>
      <c r="C62" s="43">
        <f>B62/$B$6</f>
        <v>1.6</v>
      </c>
      <c r="D62" s="42">
        <v>400000</v>
      </c>
      <c r="E62" s="43">
        <f>D62/$D$6</f>
        <v>1.6</v>
      </c>
      <c r="F62" s="44" t="s">
        <v>23</v>
      </c>
      <c r="G62" s="42">
        <v>1650000</v>
      </c>
      <c r="H62" s="43">
        <f>G62/$G$6</f>
        <v>6.2545013456654415</v>
      </c>
      <c r="I62" s="42">
        <v>1650000</v>
      </c>
      <c r="J62" s="43">
        <f>I62/$I$6</f>
        <v>6.1044640280583362</v>
      </c>
      <c r="K62" s="45" t="s">
        <v>68</v>
      </c>
    </row>
    <row r="63" spans="1:11" x14ac:dyDescent="0.25">
      <c r="A63" s="23" t="s">
        <v>69</v>
      </c>
      <c r="B63" s="24"/>
      <c r="C63" s="28"/>
      <c r="D63" s="24">
        <v>34500</v>
      </c>
      <c r="E63" s="43">
        <f t="shared" ref="E63:E64" si="7">D63/$D$6</f>
        <v>0.13800000000000001</v>
      </c>
      <c r="F63" s="44"/>
      <c r="G63" s="24">
        <v>0</v>
      </c>
      <c r="H63" s="43"/>
      <c r="I63" s="24">
        <v>0</v>
      </c>
      <c r="J63" s="43"/>
      <c r="K63" s="27" t="s">
        <v>70</v>
      </c>
    </row>
    <row r="64" spans="1:11" x14ac:dyDescent="0.25">
      <c r="A64" s="23" t="s">
        <v>71</v>
      </c>
      <c r="B64" s="42">
        <v>250000</v>
      </c>
      <c r="C64" s="43">
        <f>B64/$B$6</f>
        <v>1</v>
      </c>
      <c r="D64" s="42">
        <v>250000</v>
      </c>
      <c r="E64" s="43">
        <f t="shared" si="7"/>
        <v>1</v>
      </c>
      <c r="F64" s="44" t="s">
        <v>23</v>
      </c>
      <c r="G64" s="68">
        <f>120000*1.1</f>
        <v>132000</v>
      </c>
      <c r="H64" s="43">
        <f t="shared" ref="H64:H66" si="8">G64/$G$6</f>
        <v>0.50036010765323524</v>
      </c>
      <c r="I64" s="68">
        <f>120000*1.1</f>
        <v>132000</v>
      </c>
      <c r="J64" s="43">
        <f t="shared" ref="J64:J66" si="9">I64/$I$6</f>
        <v>0.48835712224466693</v>
      </c>
      <c r="K64" s="45" t="s">
        <v>72</v>
      </c>
    </row>
    <row r="65" spans="1:11" x14ac:dyDescent="0.25">
      <c r="A65" s="23" t="s">
        <v>73</v>
      </c>
      <c r="B65" s="24"/>
      <c r="C65" s="28"/>
      <c r="D65" s="24"/>
      <c r="E65" s="28"/>
      <c r="F65" s="27"/>
      <c r="G65" s="24">
        <f>(20000+5000*16)*1.1</f>
        <v>110000.00000000001</v>
      </c>
      <c r="H65" s="43">
        <f t="shared" si="8"/>
        <v>0.41696675637769615</v>
      </c>
      <c r="I65" s="24">
        <f>(20000+5000*16)*1.1</f>
        <v>110000.00000000001</v>
      </c>
      <c r="J65" s="43">
        <f>I65/I6</f>
        <v>0.40696426853722251</v>
      </c>
      <c r="K65" s="27" t="s">
        <v>74</v>
      </c>
    </row>
    <row r="66" spans="1:11" x14ac:dyDescent="0.25">
      <c r="A66" s="74" t="s">
        <v>75</v>
      </c>
      <c r="B66" s="24">
        <v>0</v>
      </c>
      <c r="C66" s="28"/>
      <c r="D66" s="24">
        <v>0</v>
      </c>
      <c r="E66" s="28"/>
      <c r="F66" s="27"/>
      <c r="G66" s="24">
        <f>0.03*G58</f>
        <v>56462.759999999995</v>
      </c>
      <c r="H66" s="43">
        <f t="shared" si="8"/>
        <v>0.21402812630302109</v>
      </c>
      <c r="I66" s="24">
        <f>0.03*I58</f>
        <v>72478.02</v>
      </c>
      <c r="J66" s="43">
        <f t="shared" si="9"/>
        <v>0.26814513085751074</v>
      </c>
      <c r="K66" s="27" t="s">
        <v>76</v>
      </c>
    </row>
    <row r="67" spans="1:11" x14ac:dyDescent="0.25">
      <c r="A67" s="69" t="s">
        <v>77</v>
      </c>
      <c r="B67" s="56">
        <f t="shared" ref="B67" si="10">SUM(B60:B66)</f>
        <v>650000</v>
      </c>
      <c r="C67" s="57">
        <f>SUM(C61:C66)</f>
        <v>2.6</v>
      </c>
      <c r="D67" s="56">
        <f>SUM(D60:D66)</f>
        <v>684500</v>
      </c>
      <c r="E67" s="57">
        <f>SUM(E60:E65)</f>
        <v>2.738</v>
      </c>
      <c r="F67" s="58"/>
      <c r="G67" s="56">
        <f>SUM(G61:G66)</f>
        <v>1948462.76</v>
      </c>
      <c r="H67" s="57">
        <f>SUM(H60:H66)</f>
        <v>7.3858563359993941</v>
      </c>
      <c r="I67" s="56">
        <f>SUM(I61:I66)</f>
        <v>1964478.02</v>
      </c>
      <c r="J67" s="57">
        <f>SUM(J60:J66)</f>
        <v>7.267930549697736</v>
      </c>
      <c r="K67" s="59"/>
    </row>
    <row r="68" spans="1:11" x14ac:dyDescent="0.25">
      <c r="A68" s="74"/>
      <c r="B68" s="24"/>
      <c r="C68" s="28"/>
      <c r="D68" s="24"/>
      <c r="E68" s="28"/>
      <c r="F68" s="27"/>
      <c r="G68" s="24"/>
      <c r="H68" s="28"/>
      <c r="I68" s="24"/>
      <c r="J68" s="28"/>
      <c r="K68" s="27"/>
    </row>
    <row r="69" spans="1:11" x14ac:dyDescent="0.25">
      <c r="A69" s="60" t="s">
        <v>78</v>
      </c>
      <c r="B69" s="61"/>
      <c r="C69" s="62"/>
      <c r="D69" s="61"/>
      <c r="E69" s="62"/>
      <c r="F69" s="63"/>
      <c r="G69" s="61"/>
      <c r="H69" s="62"/>
      <c r="I69" s="61"/>
      <c r="J69" s="62"/>
      <c r="K69" s="63"/>
    </row>
    <row r="70" spans="1:11" x14ac:dyDescent="0.25">
      <c r="A70" s="23" t="s">
        <v>79</v>
      </c>
      <c r="B70" s="42">
        <f>1370000+920000</f>
        <v>2290000</v>
      </c>
      <c r="C70" s="43">
        <f>B70/$B$6</f>
        <v>9.16</v>
      </c>
      <c r="D70" s="42">
        <f>(D32+D58+D67+D87+D101+D112+D119+D123-D99-D97-D98-D100)*0.03</f>
        <v>1037656.5</v>
      </c>
      <c r="E70" s="43">
        <f>D70/$D$6</f>
        <v>4.1506259999999999</v>
      </c>
      <c r="F70" s="44" t="s">
        <v>80</v>
      </c>
      <c r="G70" s="42">
        <f t="shared" ref="G70" si="11">(G32+G58+G67+G87+G101+G112+G119+G123-G99-G97-G98-G100)*0.03</f>
        <v>1347908.2773</v>
      </c>
      <c r="H70" s="43">
        <f>G70/G6</f>
        <v>5.1093903843675372</v>
      </c>
      <c r="I70" s="42">
        <v>1261382</v>
      </c>
      <c r="J70" s="43">
        <f>I70/I6</f>
        <v>4.6667036634183523</v>
      </c>
      <c r="K70" s="45" t="s">
        <v>80</v>
      </c>
    </row>
    <row r="71" spans="1:11" x14ac:dyDescent="0.25">
      <c r="A71" s="23" t="s">
        <v>81</v>
      </c>
      <c r="B71" s="24">
        <v>30000</v>
      </c>
      <c r="C71" s="43">
        <f>B71/$B$6</f>
        <v>0.12</v>
      </c>
      <c r="D71" s="24">
        <v>460000</v>
      </c>
      <c r="E71" s="43">
        <f>D71/$D$6</f>
        <v>1.84</v>
      </c>
      <c r="F71" s="44"/>
      <c r="G71" s="24">
        <v>0</v>
      </c>
      <c r="H71" s="28"/>
      <c r="I71" s="24">
        <v>0</v>
      </c>
      <c r="J71" s="28"/>
      <c r="K71" s="27"/>
    </row>
    <row r="72" spans="1:11" x14ac:dyDescent="0.25">
      <c r="A72" s="74"/>
      <c r="B72" s="24"/>
      <c r="C72" s="28"/>
      <c r="D72" s="24"/>
      <c r="E72" s="28"/>
      <c r="F72" s="27"/>
      <c r="G72" s="24"/>
      <c r="H72" s="28"/>
      <c r="I72" s="24"/>
      <c r="J72" s="28"/>
      <c r="K72" s="27"/>
    </row>
    <row r="73" spans="1:11" x14ac:dyDescent="0.25">
      <c r="A73" s="69" t="s">
        <v>82</v>
      </c>
      <c r="B73" s="56">
        <f t="shared" ref="B73" si="12">SUM(B69:B72)</f>
        <v>2320000</v>
      </c>
      <c r="C73" s="57">
        <f>SUM(C70:C72)</f>
        <v>9.2799999999999994</v>
      </c>
      <c r="D73" s="56">
        <f>SUM(D69:D72)</f>
        <v>1497656.5</v>
      </c>
      <c r="E73" s="57">
        <f>SUM(E69:E72)</f>
        <v>5.9906259999999998</v>
      </c>
      <c r="F73" s="58"/>
      <c r="G73" s="56">
        <f>SUM(G69:G72)</f>
        <v>1347908.2773</v>
      </c>
      <c r="H73" s="57">
        <f>SUM(H69:H72)</f>
        <v>5.1093903843675372</v>
      </c>
      <c r="I73" s="56">
        <f>SUM(I69:I72)</f>
        <v>1261382</v>
      </c>
      <c r="J73" s="57">
        <f>SUM(J69:J72)</f>
        <v>4.6667036634183523</v>
      </c>
      <c r="K73" s="59"/>
    </row>
    <row r="74" spans="1:11" x14ac:dyDescent="0.25">
      <c r="A74" s="74"/>
      <c r="B74" s="24"/>
      <c r="C74" s="28"/>
      <c r="D74" s="24"/>
      <c r="E74" s="28"/>
      <c r="F74" s="27"/>
      <c r="G74" s="24"/>
      <c r="H74" s="28"/>
      <c r="I74" s="24"/>
      <c r="J74" s="28"/>
      <c r="K74" s="27"/>
    </row>
    <row r="75" spans="1:11" x14ac:dyDescent="0.25">
      <c r="A75" s="60" t="s">
        <v>83</v>
      </c>
      <c r="B75" s="61"/>
      <c r="C75" s="62"/>
      <c r="D75" s="61"/>
      <c r="E75" s="62"/>
      <c r="F75" s="63"/>
      <c r="G75" s="61"/>
      <c r="H75" s="62"/>
      <c r="I75" s="61"/>
      <c r="J75" s="62"/>
      <c r="K75" s="63"/>
    </row>
    <row r="76" spans="1:11" x14ac:dyDescent="0.25">
      <c r="A76" s="23" t="s">
        <v>84</v>
      </c>
      <c r="B76" s="24">
        <v>1147516</v>
      </c>
      <c r="C76" s="25">
        <f>B76/$B$6</f>
        <v>4.5900639999999999</v>
      </c>
      <c r="D76" s="24"/>
      <c r="E76" s="28"/>
      <c r="F76" s="27"/>
      <c r="G76" s="24"/>
      <c r="H76" s="28"/>
      <c r="I76" s="24"/>
      <c r="J76" s="28"/>
      <c r="K76" s="27"/>
    </row>
    <row r="77" spans="1:11" x14ac:dyDescent="0.25">
      <c r="A77" s="23" t="s">
        <v>85</v>
      </c>
      <c r="B77" s="24"/>
      <c r="C77" s="25"/>
      <c r="D77" s="24"/>
      <c r="E77" s="28"/>
      <c r="F77" s="27"/>
      <c r="G77" s="24"/>
      <c r="H77" s="28"/>
      <c r="I77" s="24"/>
      <c r="J77" s="28"/>
      <c r="K77" s="27"/>
    </row>
    <row r="78" spans="1:11" x14ac:dyDescent="0.25">
      <c r="A78" s="23" t="s">
        <v>86</v>
      </c>
      <c r="B78" s="24"/>
      <c r="C78" s="25"/>
      <c r="D78" s="24"/>
      <c r="E78" s="28"/>
      <c r="F78" s="27"/>
      <c r="G78" s="24"/>
      <c r="H78" s="28"/>
      <c r="I78" s="24"/>
      <c r="J78" s="28"/>
      <c r="K78" s="27"/>
    </row>
    <row r="79" spans="1:11" x14ac:dyDescent="0.25">
      <c r="A79" s="23" t="s">
        <v>87</v>
      </c>
      <c r="B79" s="24"/>
      <c r="C79" s="25"/>
      <c r="D79" s="24"/>
      <c r="E79" s="28"/>
      <c r="F79" s="27"/>
      <c r="G79" s="24"/>
      <c r="H79" s="28"/>
      <c r="I79" s="24"/>
      <c r="J79" s="28"/>
      <c r="K79" s="27"/>
    </row>
    <row r="80" spans="1:11" x14ac:dyDescent="0.25">
      <c r="A80" s="23" t="s">
        <v>88</v>
      </c>
      <c r="B80" s="24">
        <v>189745</v>
      </c>
      <c r="C80" s="25">
        <f t="shared" ref="C80:C85" si="13">B80/$B$6</f>
        <v>0.75897999999999999</v>
      </c>
      <c r="D80" s="24"/>
      <c r="E80" s="28"/>
      <c r="F80" s="27"/>
      <c r="G80" s="24"/>
      <c r="H80" s="28"/>
      <c r="I80" s="24"/>
      <c r="J80" s="28"/>
      <c r="K80" s="27"/>
    </row>
    <row r="81" spans="1:11" x14ac:dyDescent="0.25">
      <c r="A81" s="23" t="s">
        <v>89</v>
      </c>
      <c r="B81" s="24">
        <v>20000</v>
      </c>
      <c r="C81" s="25">
        <f t="shared" si="13"/>
        <v>0.08</v>
      </c>
      <c r="D81" s="24">
        <v>20000</v>
      </c>
      <c r="E81" s="25">
        <f>D81/$D$6</f>
        <v>0.08</v>
      </c>
      <c r="F81" s="26"/>
      <c r="G81" s="24">
        <v>0</v>
      </c>
      <c r="H81" s="25">
        <f>G81/G6</f>
        <v>0</v>
      </c>
      <c r="I81" s="24">
        <v>0</v>
      </c>
      <c r="J81" s="25">
        <f>I81/I6</f>
        <v>0</v>
      </c>
      <c r="K81" s="27"/>
    </row>
    <row r="82" spans="1:11" x14ac:dyDescent="0.25">
      <c r="A82" s="23" t="s">
        <v>90</v>
      </c>
      <c r="B82" s="24"/>
      <c r="C82" s="25"/>
      <c r="D82" s="24">
        <v>25000</v>
      </c>
      <c r="E82" s="25">
        <f>D82/$D$6</f>
        <v>0.1</v>
      </c>
      <c r="F82" s="26"/>
      <c r="G82" s="24">
        <v>0</v>
      </c>
      <c r="H82" s="28"/>
      <c r="I82" s="24">
        <v>0</v>
      </c>
      <c r="J82" s="28"/>
      <c r="K82" s="27" t="s">
        <v>91</v>
      </c>
    </row>
    <row r="83" spans="1:11" x14ac:dyDescent="0.25">
      <c r="A83" s="23" t="s">
        <v>92</v>
      </c>
      <c r="B83" s="24"/>
      <c r="C83" s="25"/>
      <c r="D83" s="24"/>
      <c r="E83" s="25"/>
      <c r="F83" s="26"/>
      <c r="G83" s="24"/>
      <c r="H83" s="28"/>
      <c r="I83" s="24"/>
      <c r="J83" s="28"/>
      <c r="K83" s="27"/>
    </row>
    <row r="84" spans="1:11" x14ac:dyDescent="0.25">
      <c r="A84" s="23" t="s">
        <v>93</v>
      </c>
      <c r="B84" s="24"/>
      <c r="C84" s="25"/>
      <c r="D84" s="24"/>
      <c r="E84" s="25"/>
      <c r="F84" s="26"/>
      <c r="G84" s="24"/>
      <c r="H84" s="28"/>
      <c r="I84" s="24"/>
      <c r="J84" s="28"/>
      <c r="K84" s="27"/>
    </row>
    <row r="85" spans="1:11" x14ac:dyDescent="0.25">
      <c r="A85" s="23" t="s">
        <v>94</v>
      </c>
      <c r="B85" s="24">
        <v>45000</v>
      </c>
      <c r="C85" s="25">
        <f t="shared" si="13"/>
        <v>0.18</v>
      </c>
      <c r="D85" s="24">
        <v>45000</v>
      </c>
      <c r="E85" s="25">
        <f>D85/$D$6</f>
        <v>0.18</v>
      </c>
      <c r="F85" s="26"/>
      <c r="G85" s="24">
        <v>0</v>
      </c>
      <c r="H85" s="25">
        <f>G85/G6</f>
        <v>0</v>
      </c>
      <c r="I85" s="24">
        <v>0</v>
      </c>
      <c r="J85" s="25">
        <f>I85/I6</f>
        <v>0</v>
      </c>
      <c r="K85" s="27"/>
    </row>
    <row r="86" spans="1:11" x14ac:dyDescent="0.25">
      <c r="A86" s="74"/>
      <c r="B86" s="24"/>
      <c r="C86" s="28"/>
      <c r="D86" s="24"/>
      <c r="E86" s="28"/>
      <c r="F86" s="27"/>
      <c r="G86" s="24"/>
      <c r="H86" s="28"/>
      <c r="I86" s="24"/>
      <c r="J86" s="28"/>
      <c r="K86" s="27"/>
    </row>
    <row r="87" spans="1:11" x14ac:dyDescent="0.25">
      <c r="A87" s="69" t="s">
        <v>95</v>
      </c>
      <c r="B87" s="56">
        <f t="shared" ref="B87" si="14">SUM(B75:B86)</f>
        <v>1402261</v>
      </c>
      <c r="C87" s="57">
        <f>SUM(C76:C86)</f>
        <v>5.6090439999999999</v>
      </c>
      <c r="D87" s="56">
        <f>SUM(D75:D86)</f>
        <v>90000</v>
      </c>
      <c r="E87" s="57">
        <f>SUM(E75:E86)</f>
        <v>0.36</v>
      </c>
      <c r="F87" s="58"/>
      <c r="G87" s="56">
        <f>SUM(G75:G86)</f>
        <v>0</v>
      </c>
      <c r="H87" s="57">
        <f>SUM(H75:H86)</f>
        <v>0</v>
      </c>
      <c r="I87" s="56">
        <f>SUM(I75:I86)</f>
        <v>0</v>
      </c>
      <c r="J87" s="57">
        <f>SUM(J75:J86)</f>
        <v>0</v>
      </c>
      <c r="K87" s="59"/>
    </row>
    <row r="88" spans="1:11" x14ac:dyDescent="0.25">
      <c r="A88" s="74"/>
      <c r="B88" s="24"/>
      <c r="C88" s="28"/>
      <c r="D88" s="24"/>
      <c r="E88" s="28"/>
      <c r="F88" s="27"/>
      <c r="G88" s="24"/>
      <c r="H88" s="28"/>
      <c r="I88" s="24"/>
      <c r="J88" s="28"/>
      <c r="K88" s="27"/>
    </row>
    <row r="89" spans="1:11" x14ac:dyDescent="0.25">
      <c r="A89" s="60" t="s">
        <v>96</v>
      </c>
      <c r="B89" s="61"/>
      <c r="C89" s="62"/>
      <c r="D89" s="61"/>
      <c r="E89" s="62"/>
      <c r="F89" s="63"/>
      <c r="G89" s="61"/>
      <c r="H89" s="62"/>
      <c r="I89" s="61"/>
      <c r="J89" s="62"/>
      <c r="K89" s="63"/>
    </row>
    <row r="90" spans="1:11" x14ac:dyDescent="0.25">
      <c r="A90" s="23" t="s">
        <v>97</v>
      </c>
      <c r="B90" s="42">
        <v>125000</v>
      </c>
      <c r="C90" s="43">
        <f>B90/$B$6</f>
        <v>0.5</v>
      </c>
      <c r="D90" s="42">
        <v>125000</v>
      </c>
      <c r="E90" s="43">
        <f>D90/$D$6</f>
        <v>0.5</v>
      </c>
      <c r="F90" s="44" t="s">
        <v>23</v>
      </c>
      <c r="G90" s="42">
        <v>100000</v>
      </c>
      <c r="H90" s="43">
        <f>G90/$G$6</f>
        <v>0.37906068761608736</v>
      </c>
      <c r="I90" s="42">
        <v>100000</v>
      </c>
      <c r="J90" s="43">
        <f>I90/$I$6</f>
        <v>0.36996751685202039</v>
      </c>
      <c r="K90" s="45" t="s">
        <v>23</v>
      </c>
    </row>
    <row r="91" spans="1:11" x14ac:dyDescent="0.25">
      <c r="A91" s="23" t="s">
        <v>98</v>
      </c>
      <c r="B91" s="24"/>
      <c r="C91" s="43"/>
      <c r="D91" s="24"/>
      <c r="E91" s="43"/>
      <c r="F91" s="44"/>
      <c r="G91" s="24"/>
      <c r="H91" s="43"/>
      <c r="I91" s="24"/>
      <c r="J91" s="43"/>
      <c r="K91" s="27"/>
    </row>
    <row r="92" spans="1:11" x14ac:dyDescent="0.25">
      <c r="A92" s="23" t="s">
        <v>99</v>
      </c>
      <c r="B92" s="24"/>
      <c r="C92" s="43"/>
      <c r="D92" s="24"/>
      <c r="E92" s="43"/>
      <c r="F92" s="44"/>
      <c r="G92" s="24"/>
      <c r="H92" s="43"/>
      <c r="I92" s="24"/>
      <c r="J92" s="43"/>
      <c r="K92" s="27"/>
    </row>
    <row r="93" spans="1:11" x14ac:dyDescent="0.25">
      <c r="A93" s="23" t="s">
        <v>100</v>
      </c>
      <c r="B93" s="24"/>
      <c r="C93" s="43"/>
      <c r="D93" s="24"/>
      <c r="E93" s="43"/>
      <c r="F93" s="44"/>
      <c r="G93" s="24"/>
      <c r="H93" s="43"/>
      <c r="I93" s="24"/>
      <c r="J93" s="43"/>
      <c r="K93" s="27"/>
    </row>
    <row r="94" spans="1:11" x14ac:dyDescent="0.25">
      <c r="A94" s="23" t="s">
        <v>101</v>
      </c>
      <c r="B94" s="24"/>
      <c r="C94" s="43"/>
      <c r="D94" s="24"/>
      <c r="E94" s="43"/>
      <c r="F94" s="44"/>
      <c r="G94" s="24"/>
      <c r="H94" s="43"/>
      <c r="I94" s="24"/>
      <c r="J94" s="43"/>
      <c r="K94" s="27"/>
    </row>
    <row r="95" spans="1:11" x14ac:dyDescent="0.25">
      <c r="A95" s="23" t="s">
        <v>102</v>
      </c>
      <c r="B95" s="24"/>
      <c r="C95" s="43"/>
      <c r="D95" s="24"/>
      <c r="E95" s="43"/>
      <c r="F95" s="44"/>
      <c r="G95" s="24"/>
      <c r="H95" s="43"/>
      <c r="I95" s="24"/>
      <c r="J95" s="43"/>
      <c r="K95" s="27"/>
    </row>
    <row r="96" spans="1:11" x14ac:dyDescent="0.25">
      <c r="A96" s="23" t="s">
        <v>103</v>
      </c>
      <c r="B96" s="24"/>
      <c r="C96" s="43"/>
      <c r="D96" s="24"/>
      <c r="E96" s="43"/>
      <c r="F96" s="44"/>
      <c r="G96" s="24"/>
      <c r="H96" s="43"/>
      <c r="I96" s="24"/>
      <c r="J96" s="43"/>
      <c r="K96" s="27"/>
    </row>
    <row r="97" spans="1:11" x14ac:dyDescent="0.25">
      <c r="A97" s="23" t="s">
        <v>104</v>
      </c>
      <c r="B97" s="24">
        <v>2463825</v>
      </c>
      <c r="C97" s="43">
        <f t="shared" ref="C97:C100" si="15">B97/$B$6</f>
        <v>9.8552999999999997</v>
      </c>
      <c r="D97" s="24">
        <v>2463825</v>
      </c>
      <c r="E97" s="43">
        <f t="shared" ref="E97:E100" si="16">D97/$D$6</f>
        <v>9.8552999999999997</v>
      </c>
      <c r="F97" s="44" t="s">
        <v>105</v>
      </c>
      <c r="G97" s="24">
        <f>0.06*(26.62*6*G6)*0.95</f>
        <v>2401736.7924000002</v>
      </c>
      <c r="H97" s="43">
        <f t="shared" ref="H97:H100" si="17">G97/$G$6</f>
        <v>9.1040400000000012</v>
      </c>
      <c r="I97" s="24">
        <v>2696001</v>
      </c>
      <c r="J97" s="43">
        <f t="shared" ref="J97:J100" si="18">I97/$I$6</f>
        <v>9.9743279540056378</v>
      </c>
      <c r="K97" s="27" t="s">
        <v>106</v>
      </c>
    </row>
    <row r="98" spans="1:11" x14ac:dyDescent="0.25">
      <c r="A98" s="23" t="s">
        <v>107</v>
      </c>
      <c r="B98" s="24">
        <v>75000</v>
      </c>
      <c r="C98" s="43">
        <f t="shared" si="15"/>
        <v>0.3</v>
      </c>
      <c r="D98" s="24">
        <v>75000</v>
      </c>
      <c r="E98" s="43">
        <f t="shared" si="16"/>
        <v>0.3</v>
      </c>
      <c r="F98" s="44"/>
      <c r="G98" s="24">
        <v>0</v>
      </c>
      <c r="H98" s="43">
        <f t="shared" si="17"/>
        <v>0</v>
      </c>
      <c r="I98" s="24">
        <v>0</v>
      </c>
      <c r="J98" s="43">
        <f t="shared" si="18"/>
        <v>0</v>
      </c>
      <c r="K98" s="27"/>
    </row>
    <row r="99" spans="1:11" x14ac:dyDescent="0.25">
      <c r="A99" s="23" t="s">
        <v>108</v>
      </c>
      <c r="B99" s="24">
        <v>7125000</v>
      </c>
      <c r="C99" s="43">
        <f t="shared" si="15"/>
        <v>28.5</v>
      </c>
      <c r="D99" s="24">
        <f>30*250000</f>
        <v>7500000</v>
      </c>
      <c r="E99" s="43">
        <f t="shared" si="16"/>
        <v>30</v>
      </c>
      <c r="F99" s="44" t="s">
        <v>109</v>
      </c>
      <c r="G99" s="24">
        <f>26.5*G6*0.95</f>
        <v>6641416.75</v>
      </c>
      <c r="H99" s="43">
        <f t="shared" si="17"/>
        <v>25.175000000000001</v>
      </c>
      <c r="I99" s="24">
        <v>7363440</v>
      </c>
      <c r="J99" s="43">
        <f t="shared" si="18"/>
        <v>27.24233612288841</v>
      </c>
      <c r="K99" s="27" t="s">
        <v>110</v>
      </c>
    </row>
    <row r="100" spans="1:11" x14ac:dyDescent="0.25">
      <c r="A100" s="74" t="s">
        <v>111</v>
      </c>
      <c r="B100" s="24">
        <v>425000</v>
      </c>
      <c r="C100" s="43">
        <f t="shared" si="15"/>
        <v>1.7</v>
      </c>
      <c r="D100" s="24">
        <v>425000</v>
      </c>
      <c r="E100" s="43">
        <f t="shared" si="16"/>
        <v>1.7</v>
      </c>
      <c r="F100" s="44"/>
      <c r="G100" s="24">
        <v>0</v>
      </c>
      <c r="H100" s="43">
        <f t="shared" si="17"/>
        <v>0</v>
      </c>
      <c r="I100" s="24">
        <v>0</v>
      </c>
      <c r="J100" s="43">
        <f t="shared" si="18"/>
        <v>0</v>
      </c>
      <c r="K100" s="27" t="s">
        <v>112</v>
      </c>
    </row>
    <row r="101" spans="1:11" x14ac:dyDescent="0.25">
      <c r="A101" s="69" t="s">
        <v>113</v>
      </c>
      <c r="B101" s="56">
        <f>SUM(B89:B100)</f>
        <v>10213825</v>
      </c>
      <c r="C101" s="57">
        <f>SUM(C90:C100)</f>
        <v>40.8553</v>
      </c>
      <c r="D101" s="56">
        <f>SUM(D89:D100)</f>
        <v>10588825</v>
      </c>
      <c r="E101" s="57">
        <f>SUM(E89:E100)</f>
        <v>42.3553</v>
      </c>
      <c r="F101" s="58"/>
      <c r="G101" s="56">
        <f>SUM(G89:G100)</f>
        <v>9143153.5424000006</v>
      </c>
      <c r="H101" s="57">
        <f>SUM(H89:H100)</f>
        <v>34.658100687616091</v>
      </c>
      <c r="I101" s="56">
        <f>SUM(I89:I100)</f>
        <v>10159441</v>
      </c>
      <c r="J101" s="57">
        <f>SUM(J89:J100)</f>
        <v>37.58663159374607</v>
      </c>
      <c r="K101" s="59"/>
    </row>
    <row r="102" spans="1:11" x14ac:dyDescent="0.25">
      <c r="A102" s="74"/>
      <c r="B102" s="24"/>
      <c r="C102" s="28"/>
      <c r="D102" s="24"/>
      <c r="E102" s="28"/>
      <c r="F102" s="27"/>
      <c r="G102" s="24"/>
      <c r="H102" s="28"/>
      <c r="I102" s="24"/>
      <c r="J102" s="28"/>
      <c r="K102" s="27"/>
    </row>
    <row r="103" spans="1:11" x14ac:dyDescent="0.25">
      <c r="A103" s="60" t="s">
        <v>114</v>
      </c>
      <c r="B103" s="61"/>
      <c r="C103" s="62"/>
      <c r="D103" s="61"/>
      <c r="E103" s="62"/>
      <c r="F103" s="63"/>
      <c r="G103" s="61"/>
      <c r="H103" s="62"/>
      <c r="I103" s="61"/>
      <c r="J103" s="62"/>
      <c r="K103" s="63"/>
    </row>
    <row r="104" spans="1:11" x14ac:dyDescent="0.25">
      <c r="A104" s="23" t="s">
        <v>115</v>
      </c>
      <c r="B104" s="42">
        <v>150000</v>
      </c>
      <c r="C104" s="43">
        <f>B104/$B$6</f>
        <v>0.6</v>
      </c>
      <c r="D104" s="42">
        <v>150000</v>
      </c>
      <c r="E104" s="43">
        <f>D104/$D$6</f>
        <v>0.6</v>
      </c>
      <c r="F104" s="44" t="s">
        <v>23</v>
      </c>
      <c r="G104" s="42">
        <v>150000</v>
      </c>
      <c r="H104" s="43">
        <f>G104/G6</f>
        <v>0.56859103142413103</v>
      </c>
      <c r="I104" s="42">
        <v>150000</v>
      </c>
      <c r="J104" s="43">
        <f>I104/I6</f>
        <v>0.55495127527803056</v>
      </c>
      <c r="K104" s="45" t="s">
        <v>23</v>
      </c>
    </row>
    <row r="105" spans="1:11" x14ac:dyDescent="0.25">
      <c r="A105" s="23" t="s">
        <v>116</v>
      </c>
      <c r="B105" s="24"/>
      <c r="C105" s="43"/>
      <c r="D105" s="24"/>
      <c r="E105" s="28"/>
      <c r="F105" s="27"/>
      <c r="G105" s="24"/>
      <c r="H105" s="28"/>
      <c r="I105" s="24"/>
      <c r="J105" s="28"/>
      <c r="K105" s="27"/>
    </row>
    <row r="106" spans="1:11" x14ac:dyDescent="0.25">
      <c r="A106" s="23" t="s">
        <v>117</v>
      </c>
      <c r="B106" s="24"/>
      <c r="C106" s="43"/>
      <c r="D106" s="24"/>
      <c r="E106" s="28"/>
      <c r="F106" s="27"/>
      <c r="G106" s="24"/>
      <c r="H106" s="28"/>
      <c r="I106" s="24"/>
      <c r="J106" s="28"/>
      <c r="K106" s="27"/>
    </row>
    <row r="107" spans="1:11" x14ac:dyDescent="0.25">
      <c r="A107" s="23" t="s">
        <v>118</v>
      </c>
      <c r="B107" s="24"/>
      <c r="C107" s="43"/>
      <c r="D107" s="24"/>
      <c r="E107" s="28"/>
      <c r="F107" s="27"/>
      <c r="G107" s="24"/>
      <c r="H107" s="28"/>
      <c r="I107" s="24"/>
      <c r="J107" s="28"/>
      <c r="K107" s="27"/>
    </row>
    <row r="108" spans="1:11" x14ac:dyDescent="0.25">
      <c r="A108" s="23" t="s">
        <v>119</v>
      </c>
      <c r="B108" s="24">
        <v>25000</v>
      </c>
      <c r="C108" s="43">
        <f t="shared" ref="C108" si="19">B108/$B$6</f>
        <v>0.1</v>
      </c>
      <c r="D108" s="24"/>
      <c r="E108" s="28"/>
      <c r="F108" s="27"/>
      <c r="G108" s="24"/>
      <c r="H108" s="28"/>
      <c r="I108" s="24"/>
      <c r="J108" s="28"/>
      <c r="K108" s="27"/>
    </row>
    <row r="109" spans="1:11" x14ac:dyDescent="0.25">
      <c r="A109" s="23" t="s">
        <v>120</v>
      </c>
      <c r="B109" s="24"/>
      <c r="C109" s="43"/>
      <c r="D109" s="24"/>
      <c r="E109" s="28"/>
      <c r="F109" s="27"/>
      <c r="G109" s="24"/>
      <c r="H109" s="28"/>
      <c r="I109" s="24"/>
      <c r="J109" s="28"/>
      <c r="K109" s="27"/>
    </row>
    <row r="110" spans="1:11" x14ac:dyDescent="0.25">
      <c r="A110" s="23" t="s">
        <v>121</v>
      </c>
      <c r="B110" s="24"/>
      <c r="C110" s="43"/>
      <c r="D110" s="24"/>
      <c r="E110" s="28"/>
      <c r="F110" s="27"/>
      <c r="G110" s="24"/>
      <c r="H110" s="28"/>
      <c r="I110" s="24"/>
      <c r="J110" s="28"/>
      <c r="K110" s="27"/>
    </row>
    <row r="111" spans="1:11" x14ac:dyDescent="0.25">
      <c r="A111" s="74"/>
      <c r="B111" s="24"/>
      <c r="C111" s="43"/>
      <c r="D111" s="24"/>
      <c r="E111" s="28"/>
      <c r="F111" s="27"/>
      <c r="G111" s="24"/>
      <c r="H111" s="28"/>
      <c r="I111" s="24"/>
      <c r="J111" s="28"/>
      <c r="K111" s="27"/>
    </row>
    <row r="112" spans="1:11" x14ac:dyDescent="0.25">
      <c r="A112" s="69" t="s">
        <v>122</v>
      </c>
      <c r="B112" s="56">
        <f t="shared" ref="B112" si="20">SUM(B103:B111)</f>
        <v>175000</v>
      </c>
      <c r="C112" s="57">
        <f>SUM(C104:C111)</f>
        <v>0.7</v>
      </c>
      <c r="D112" s="56">
        <f>SUM(D103:D111)</f>
        <v>150000</v>
      </c>
      <c r="E112" s="57">
        <f>SUM(E103:E111)</f>
        <v>0.6</v>
      </c>
      <c r="F112" s="58"/>
      <c r="G112" s="56">
        <f>SUM(G103:G111)</f>
        <v>150000</v>
      </c>
      <c r="H112" s="57">
        <f>SUM(H103:H111)</f>
        <v>0.56859103142413103</v>
      </c>
      <c r="I112" s="56">
        <f>SUM(I103:I111)</f>
        <v>150000</v>
      </c>
      <c r="J112" s="57">
        <f>SUM(J103:J111)</f>
        <v>0.55495127527803056</v>
      </c>
      <c r="K112" s="59"/>
    </row>
    <row r="113" spans="1:11" x14ac:dyDescent="0.25">
      <c r="A113" s="74"/>
      <c r="B113" s="24"/>
      <c r="C113" s="28"/>
      <c r="D113" s="24"/>
      <c r="E113" s="28"/>
      <c r="F113" s="27"/>
      <c r="G113" s="24"/>
      <c r="H113" s="28"/>
      <c r="I113" s="24"/>
      <c r="J113" s="28"/>
      <c r="K113" s="27"/>
    </row>
    <row r="114" spans="1:11" x14ac:dyDescent="0.25">
      <c r="A114" s="60" t="s">
        <v>123</v>
      </c>
      <c r="B114" s="61"/>
      <c r="C114" s="62"/>
      <c r="D114" s="61"/>
      <c r="E114" s="62"/>
      <c r="F114" s="63"/>
      <c r="G114" s="61"/>
      <c r="H114" s="62"/>
      <c r="I114" s="61"/>
      <c r="J114" s="62"/>
      <c r="K114" s="63"/>
    </row>
    <row r="115" spans="1:11" x14ac:dyDescent="0.25">
      <c r="A115" s="23" t="s">
        <v>124</v>
      </c>
      <c r="B115" s="42"/>
      <c r="C115" s="46"/>
      <c r="D115" s="42">
        <v>0</v>
      </c>
      <c r="E115" s="46"/>
      <c r="F115" s="75"/>
      <c r="G115" s="42">
        <v>25000</v>
      </c>
      <c r="H115" s="43">
        <f>G115/G6</f>
        <v>9.4765171904021839E-2</v>
      </c>
      <c r="I115" s="42">
        <v>25000</v>
      </c>
      <c r="J115" s="43">
        <f>I115/I6</f>
        <v>9.2491879213005099E-2</v>
      </c>
      <c r="K115" s="45"/>
    </row>
    <row r="116" spans="1:11" x14ac:dyDescent="0.25">
      <c r="A116" s="23" t="s">
        <v>125</v>
      </c>
      <c r="B116" s="24"/>
      <c r="C116" s="28"/>
      <c r="D116" s="24"/>
      <c r="E116" s="28"/>
      <c r="F116" s="27"/>
      <c r="G116" s="24"/>
      <c r="H116" s="28"/>
      <c r="I116" s="24"/>
      <c r="J116" s="28"/>
      <c r="K116" s="27"/>
    </row>
    <row r="117" spans="1:11" x14ac:dyDescent="0.25">
      <c r="A117" s="23" t="s">
        <v>126</v>
      </c>
      <c r="B117" s="24"/>
      <c r="C117" s="28"/>
      <c r="D117" s="24"/>
      <c r="E117" s="28"/>
      <c r="F117" s="27"/>
      <c r="G117" s="24"/>
      <c r="H117" s="28"/>
      <c r="I117" s="24"/>
      <c r="J117" s="28"/>
      <c r="K117" s="27"/>
    </row>
    <row r="118" spans="1:11" x14ac:dyDescent="0.25">
      <c r="A118" s="74"/>
      <c r="B118" s="24"/>
      <c r="C118" s="28"/>
      <c r="D118" s="24"/>
      <c r="E118" s="28"/>
      <c r="F118" s="27"/>
      <c r="G118" s="24"/>
      <c r="H118" s="28"/>
      <c r="I118" s="24"/>
      <c r="J118" s="28"/>
      <c r="K118" s="27"/>
    </row>
    <row r="119" spans="1:11" x14ac:dyDescent="0.25">
      <c r="A119" s="69" t="s">
        <v>127</v>
      </c>
      <c r="B119" s="56">
        <f t="shared" ref="B119" si="21">SUM(B114:B118)</f>
        <v>0</v>
      </c>
      <c r="C119" s="76">
        <f>SUM(C115:C118)</f>
        <v>0</v>
      </c>
      <c r="D119" s="56">
        <f>SUM(D114:D118)</f>
        <v>0</v>
      </c>
      <c r="E119" s="76">
        <f>SUM(E114:E118)</f>
        <v>0</v>
      </c>
      <c r="F119" s="59"/>
      <c r="G119" s="56">
        <f>SUM(G114:G118)</f>
        <v>25000</v>
      </c>
      <c r="H119" s="57">
        <f>SUM(H114:H118)</f>
        <v>9.4765171904021839E-2</v>
      </c>
      <c r="I119" s="56">
        <f>SUM(I114:I118)</f>
        <v>25000</v>
      </c>
      <c r="J119" s="57">
        <f>SUM(J114:J118)</f>
        <v>9.2491879213005099E-2</v>
      </c>
      <c r="K119" s="59"/>
    </row>
    <row r="120" spans="1:11" x14ac:dyDescent="0.25">
      <c r="A120" s="77"/>
      <c r="B120" s="78"/>
      <c r="C120" s="79"/>
      <c r="D120" s="78"/>
      <c r="E120" s="79"/>
      <c r="F120" s="80"/>
      <c r="G120" s="78"/>
      <c r="H120" s="79"/>
      <c r="I120" s="78"/>
      <c r="J120" s="79"/>
      <c r="K120" s="80"/>
    </row>
    <row r="121" spans="1:11" x14ac:dyDescent="0.25">
      <c r="A121" s="55" t="s">
        <v>128</v>
      </c>
      <c r="B121" s="56">
        <f t="shared" ref="B121" si="22">B58+B67+B73+B87+B101+B112+B119</f>
        <v>15773586</v>
      </c>
      <c r="C121" s="57">
        <f>B121/$B$6</f>
        <v>63.094344</v>
      </c>
      <c r="D121" s="56">
        <f>D58+D67+D73+D87+D101+D112+D119</f>
        <v>14275031.5</v>
      </c>
      <c r="E121" s="81">
        <f>E58+E67+E73+E87+E101+E112+E119</f>
        <v>57.100125999999996</v>
      </c>
      <c r="F121" s="58"/>
      <c r="G121" s="82">
        <f>G58+G67+G73+G87+G101+G112+G119</f>
        <v>14496616.579700001</v>
      </c>
      <c r="H121" s="81">
        <f>H58+H67+H73+H87+H101+H112+H119</f>
        <v>54.95097448807855</v>
      </c>
      <c r="I121" s="82">
        <f>I58+I67+I73+I87+I101+I112+I119</f>
        <v>15976235.02</v>
      </c>
      <c r="J121" s="81">
        <f>J58+J67+J73+J87+J101+J112+J119</f>
        <v>58.716223889542498</v>
      </c>
      <c r="K121" s="59"/>
    </row>
    <row r="122" spans="1:11" x14ac:dyDescent="0.25">
      <c r="A122" s="74"/>
      <c r="B122" s="24"/>
      <c r="C122" s="28"/>
      <c r="D122" s="24"/>
      <c r="E122" s="83"/>
      <c r="F122" s="27"/>
      <c r="G122" s="24"/>
      <c r="H122" s="83"/>
      <c r="I122" s="24"/>
      <c r="J122" s="83"/>
      <c r="K122" s="27"/>
    </row>
    <row r="123" spans="1:11" x14ac:dyDescent="0.25">
      <c r="A123" s="55" t="s">
        <v>129</v>
      </c>
      <c r="B123" s="84">
        <v>1075000</v>
      </c>
      <c r="C123" s="85">
        <f>B123/$B$6</f>
        <v>4.3</v>
      </c>
      <c r="D123" s="84">
        <v>825000</v>
      </c>
      <c r="E123" s="86">
        <f>D123/D6</f>
        <v>3.3</v>
      </c>
      <c r="F123" s="87"/>
      <c r="G123" s="84">
        <v>75000</v>
      </c>
      <c r="H123" s="86">
        <f>G123/G6</f>
        <v>0.28429551571206552</v>
      </c>
      <c r="I123" s="84">
        <v>75000</v>
      </c>
      <c r="J123" s="86">
        <f>I123/I6</f>
        <v>0.27747563763901528</v>
      </c>
      <c r="K123" s="88" t="s">
        <v>130</v>
      </c>
    </row>
    <row r="124" spans="1:11" x14ac:dyDescent="0.25">
      <c r="A124" s="74"/>
      <c r="B124" s="24"/>
      <c r="C124" s="28"/>
      <c r="D124" s="24"/>
      <c r="E124" s="83"/>
      <c r="F124" s="27"/>
      <c r="G124" s="24"/>
      <c r="H124" s="83"/>
      <c r="I124" s="24"/>
      <c r="J124" s="83"/>
      <c r="K124" s="27"/>
    </row>
    <row r="125" spans="1:11" x14ac:dyDescent="0.25">
      <c r="A125" s="55" t="s">
        <v>131</v>
      </c>
      <c r="B125" s="89">
        <f t="shared" ref="B125:J125" si="23">B14+B32+B121+B123</f>
        <v>50598586</v>
      </c>
      <c r="C125" s="90">
        <f t="shared" si="23"/>
        <v>202.39434400000002</v>
      </c>
      <c r="D125" s="89">
        <f t="shared" si="23"/>
        <v>51729031.5</v>
      </c>
      <c r="E125" s="91">
        <f t="shared" si="23"/>
        <v>206.91612600000002</v>
      </c>
      <c r="F125" s="92"/>
      <c r="G125" s="89">
        <f t="shared" ref="G125:H125" si="24">G14+G32+G121+G123</f>
        <v>60500337.729699999</v>
      </c>
      <c r="H125" s="91">
        <f t="shared" si="24"/>
        <v>229.33299620825593</v>
      </c>
      <c r="I125" s="89">
        <f t="shared" si="23"/>
        <v>61140546.019999996</v>
      </c>
      <c r="J125" s="91">
        <f t="shared" si="23"/>
        <v>225.80950379956639</v>
      </c>
      <c r="K125" s="93"/>
    </row>
    <row r="126" spans="1:11" x14ac:dyDescent="0.25">
      <c r="A126"/>
      <c r="B126"/>
      <c r="C126"/>
      <c r="D126" s="94"/>
      <c r="E126" s="94"/>
      <c r="F126" s="45"/>
      <c r="G126" s="45"/>
      <c r="H126" s="45"/>
      <c r="I126" s="94"/>
      <c r="J126" s="94"/>
      <c r="K126" s="45"/>
    </row>
    <row r="127" spans="1:11" x14ac:dyDescent="0.25">
      <c r="B127" s="36"/>
      <c r="C127" s="36"/>
      <c r="D127" s="95"/>
      <c r="E127" s="95"/>
      <c r="F127" s="95"/>
      <c r="G127" s="95"/>
      <c r="H127" s="95"/>
      <c r="I127" s="94"/>
      <c r="J127" s="94"/>
      <c r="K127" s="45"/>
    </row>
    <row r="128" spans="1:11" x14ac:dyDescent="0.25">
      <c r="I128" s="36"/>
      <c r="J128" s="96"/>
    </row>
    <row r="129" spans="9:11" x14ac:dyDescent="0.25">
      <c r="I129" s="36"/>
      <c r="J129" s="96"/>
    </row>
    <row r="130" spans="9:11" x14ac:dyDescent="0.25">
      <c r="J130" s="96"/>
    </row>
    <row r="131" spans="9:11" x14ac:dyDescent="0.25">
      <c r="J131" s="96"/>
    </row>
    <row r="132" spans="9:11" x14ac:dyDescent="0.25">
      <c r="J132" s="96"/>
    </row>
    <row r="133" spans="9:11" x14ac:dyDescent="0.25">
      <c r="J133" s="96"/>
      <c r="K133" s="98"/>
    </row>
  </sheetData>
  <mergeCells count="9">
    <mergeCell ref="B6:C6"/>
    <mergeCell ref="D6:E6"/>
    <mergeCell ref="G6:H6"/>
    <mergeCell ref="I6:J6"/>
    <mergeCell ref="A1:K1"/>
    <mergeCell ref="B5:C5"/>
    <mergeCell ref="D5:E5"/>
    <mergeCell ref="G5:H5"/>
    <mergeCell ref="I5:J5"/>
  </mergeCells>
  <pageMargins left="0.7" right="0.7" top="0.75" bottom="0.75" header="0.3" footer="0.3"/>
  <pageSetup scale="71" fitToHeight="2" orientation="portrait" r:id="rId1"/>
  <headerFooter differentFirst="1" scaleWithDoc="0">
    <oddFooter>&amp;C&amp;F - &amp;A&amp;RPage &amp;P of &amp;N</oddFooter>
    <firstHeader>&amp;L&amp;G</firstHeader>
    <firstFooter>&amp;C&amp;F - &amp;A&amp;RPage &amp;P of &amp;N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Master Budget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Stark, William</dc:creator>
  <cp:lastModifiedBy>Daniel Kohlhepp</cp:lastModifiedBy>
  <dcterms:created xsi:type="dcterms:W3CDTF">2012-09-12T19:18:19Z</dcterms:created>
  <dcterms:modified xsi:type="dcterms:W3CDTF">2014-10-15T20:37:01Z</dcterms:modified>
</cp:coreProperties>
</file>