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Belk Tract" sheetId="1" r:id="rId1"/>
  </sheets>
  <definedNames>
    <definedName name="_xlnm.Print_Area" localSheetId="0">'Belk Tract'!$A$1:$S$209</definedName>
  </definedNames>
  <calcPr fullCalcOnLoad="1"/>
</workbook>
</file>

<file path=xl/sharedStrings.xml><?xml version="1.0" encoding="utf-8"?>
<sst xmlns="http://schemas.openxmlformats.org/spreadsheetml/2006/main" count="266" uniqueCount="99">
  <si>
    <t>Inflation Rate</t>
  </si>
  <si>
    <t>Selling Costs</t>
  </si>
  <si>
    <t>Year</t>
  </si>
  <si>
    <t>TOTAL</t>
  </si>
  <si>
    <t>Sales Projections</t>
  </si>
  <si>
    <t>Annaul Sales</t>
  </si>
  <si>
    <t>Sales Prices</t>
  </si>
  <si>
    <t>Sale Price</t>
  </si>
  <si>
    <t>Period</t>
  </si>
  <si>
    <t>Revenues</t>
  </si>
  <si>
    <t>Gross Proceeds</t>
  </si>
  <si>
    <t>Total Revenues</t>
  </si>
  <si>
    <t>Holding Period Costs</t>
  </si>
  <si>
    <t>Taxes</t>
  </si>
  <si>
    <t>Insurance</t>
  </si>
  <si>
    <t>CAM</t>
  </si>
  <si>
    <t>Total Holding Period Costs</t>
  </si>
  <si>
    <t>Acquisition and Development Costs</t>
  </si>
  <si>
    <t>Purchase Price</t>
  </si>
  <si>
    <t>Contingency @</t>
  </si>
  <si>
    <t>Total Acquisition and Development Costs</t>
  </si>
  <si>
    <t>Summary</t>
  </si>
  <si>
    <t>Net Cash Flow</t>
  </si>
  <si>
    <t>Internal Rate of Return</t>
  </si>
  <si>
    <t xml:space="preserve">  </t>
  </si>
  <si>
    <t>Total</t>
  </si>
  <si>
    <t>ASSUMPTIONS  *********</t>
  </si>
  <si>
    <t>CALCULATIONS ********</t>
  </si>
  <si>
    <t>Belk Track</t>
  </si>
  <si>
    <t>Ikea Parcel</t>
  </si>
  <si>
    <t>Ikea</t>
  </si>
  <si>
    <t>Parcel F</t>
  </si>
  <si>
    <t>Parcel G</t>
  </si>
  <si>
    <t>Excavation/Grading:</t>
  </si>
  <si>
    <t>Clear &amp; Grub</t>
  </si>
  <si>
    <t>Erosion Control</t>
  </si>
  <si>
    <t>Strip &amp; Stockpile Topsoil</t>
  </si>
  <si>
    <t>Balanced Earthwork</t>
  </si>
  <si>
    <t>Earthwork Export</t>
  </si>
  <si>
    <t>Detention Ponts</t>
  </si>
  <si>
    <t>Misc. Contingency</t>
  </si>
  <si>
    <t>Infrastructure:</t>
  </si>
  <si>
    <t>City Blvd Extension</t>
  </si>
  <si>
    <t>Water Line Connector Road</t>
  </si>
  <si>
    <t>Sanitary Sewer</t>
  </si>
  <si>
    <t>Shared Infrastructure:</t>
  </si>
  <si>
    <t>Retaining Walls</t>
  </si>
  <si>
    <t>Traffic Signals</t>
  </si>
  <si>
    <t>Misc Contingency</t>
  </si>
  <si>
    <t>Acres</t>
  </si>
  <si>
    <t>per acre</t>
  </si>
  <si>
    <t>Parcel H</t>
  </si>
  <si>
    <t>Parcel I</t>
  </si>
  <si>
    <t>Real Estate taxes per acre per year</t>
  </si>
  <si>
    <t>Soft costs (design, engr, permits)</t>
  </si>
  <si>
    <t>Project Management (5% of costs)</t>
  </si>
  <si>
    <t>before financing and reimbursements</t>
  </si>
  <si>
    <t>City Blvd</t>
  </si>
  <si>
    <t>Connector Road</t>
  </si>
  <si>
    <t>Reimbursements</t>
  </si>
  <si>
    <t>IRR after Reimbursements</t>
  </si>
  <si>
    <t>Financing</t>
  </si>
  <si>
    <t>Total Acres Actually Sold</t>
  </si>
  <si>
    <t>Total Acres Remaining</t>
  </si>
  <si>
    <t xml:space="preserve"> Net Cash Flow after Reimbursements</t>
  </si>
  <si>
    <t>Connector Rd 2 Lane w/ median - Ph3 to McCullough Rd</t>
  </si>
  <si>
    <t>Connector Rd 4 Lane w/ median City Rd to Ikea Way</t>
  </si>
  <si>
    <t>Connector Rd 2 Lane w/ median - Ikea Way to truck access</t>
  </si>
  <si>
    <t>Ikea Reimbursement</t>
  </si>
  <si>
    <t>Additional Fillwork Ikea</t>
  </si>
  <si>
    <t>B-1</t>
  </si>
  <si>
    <t>B-2</t>
  </si>
  <si>
    <t>A-1</t>
  </si>
  <si>
    <t>A-2</t>
  </si>
  <si>
    <t>A-3</t>
  </si>
  <si>
    <t>A-4</t>
  </si>
  <si>
    <t>Parcel</t>
  </si>
  <si>
    <t>A-5</t>
  </si>
  <si>
    <t>A-6</t>
  </si>
  <si>
    <t>B-3</t>
  </si>
  <si>
    <t>B-4</t>
  </si>
  <si>
    <t>B-5</t>
  </si>
  <si>
    <t>B-6</t>
  </si>
  <si>
    <t>C-1</t>
  </si>
  <si>
    <t>C-2</t>
  </si>
  <si>
    <t>C-3</t>
  </si>
  <si>
    <t>D-1</t>
  </si>
  <si>
    <t>D-2</t>
  </si>
  <si>
    <t>D-3</t>
  </si>
  <si>
    <t>D-4</t>
  </si>
  <si>
    <t>D-5</t>
  </si>
  <si>
    <t>E-1</t>
  </si>
  <si>
    <t>E-2</t>
  </si>
  <si>
    <t>E-3</t>
  </si>
  <si>
    <t xml:space="preserve">Parcel </t>
  </si>
  <si>
    <t>F-Office</t>
  </si>
  <si>
    <t>G-Office</t>
  </si>
  <si>
    <t>H</t>
  </si>
  <si>
    <t>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</si>
</sst>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0.00_);\(0.00\)"/>
    <numFmt numFmtId="167" formatCode="&quot;$&quot;#,##0.0_);[Red]\(&quot;$&quot;#,##0.0\)"/>
    <numFmt numFmtId="168" formatCode="&quot;$&quot;#,##0.0_);\(&quot;$&quot;#,##0.0\)"/>
    <numFmt numFmtId="169" formatCode="&quot;$&quot;#,##0.000_);\(&quot;$&quot;#,##0.000\)"/>
    <numFmt numFmtId="170" formatCode="&quot;$&quot;#,##0.0000_);\(&quot;$&quot;#,##0.0000\)"/>
    <numFmt numFmtId="171" formatCode="&quot;$&quot;#,##0.00000_);\(&quot;$&quot;#,##0.00000\)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#,##0.0_);\(#,##0.0\)"/>
    <numFmt numFmtId="179" formatCode="0.000%"/>
    <numFmt numFmtId="180" formatCode="0.0000%"/>
    <numFmt numFmtId="181" formatCode="0.00000%"/>
    <numFmt numFmtId="182" formatCode="0.000000%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&quot;$&quot;#,##0.00"/>
    <numFmt numFmtId="187" formatCode="#,##0.0000000_);\(#,##0.0000000\)"/>
    <numFmt numFmtId="188" formatCode="[$-409]dddd\,\ mmmm\ dd\,\ yyyy"/>
    <numFmt numFmtId="189" formatCode="#,##0.000_);\(#,##0.000\)"/>
    <numFmt numFmtId="190" formatCode="#,##0.0000_);\(#,##0.0000\)"/>
    <numFmt numFmtId="191" formatCode="_(* #,##0.0000_);_(* \(#,##0.00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9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2" borderId="0" xfId="0" applyFill="1" applyAlignment="1">
      <alignment/>
    </xf>
    <xf numFmtId="186" fontId="0" fillId="2" borderId="0" xfId="0" applyNumberForma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39" fontId="0" fillId="3" borderId="0" xfId="0" applyNumberForma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0" fontId="0" fillId="3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39" fontId="6" fillId="3" borderId="1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37" fontId="0" fillId="3" borderId="0" xfId="0" applyNumberFormat="1" applyFill="1" applyAlignment="1">
      <alignment/>
    </xf>
    <xf numFmtId="39" fontId="0" fillId="3" borderId="1" xfId="0" applyNumberFormat="1" applyFill="1" applyBorder="1" applyAlignment="1">
      <alignment/>
    </xf>
    <xf numFmtId="0" fontId="0" fillId="3" borderId="0" xfId="0" applyFill="1" applyBorder="1" applyAlignment="1">
      <alignment/>
    </xf>
    <xf numFmtId="39" fontId="0" fillId="3" borderId="0" xfId="0" applyNumberFormat="1" applyFill="1" applyBorder="1" applyAlignment="1">
      <alignment/>
    </xf>
    <xf numFmtId="0" fontId="7" fillId="3" borderId="0" xfId="0" applyFont="1" applyFill="1" applyAlignment="1">
      <alignment/>
    </xf>
    <xf numFmtId="37" fontId="7" fillId="3" borderId="0" xfId="0" applyNumberFormat="1" applyFont="1" applyFill="1" applyAlignment="1">
      <alignment/>
    </xf>
    <xf numFmtId="44" fontId="0" fillId="3" borderId="0" xfId="0" applyNumberFormat="1" applyFill="1" applyAlignment="1">
      <alignment/>
    </xf>
    <xf numFmtId="37" fontId="0" fillId="3" borderId="1" xfId="0" applyNumberFormat="1" applyFill="1" applyBorder="1" applyAlignment="1">
      <alignment/>
    </xf>
    <xf numFmtId="186" fontId="0" fillId="3" borderId="0" xfId="0" applyNumberFormat="1" applyFont="1" applyFill="1" applyAlignment="1">
      <alignment/>
    </xf>
    <xf numFmtId="186" fontId="0" fillId="3" borderId="0" xfId="0" applyNumberFormat="1" applyFill="1" applyAlignment="1">
      <alignment/>
    </xf>
    <xf numFmtId="186" fontId="0" fillId="3" borderId="0" xfId="0" applyNumberFormat="1" applyFont="1" applyFill="1" applyAlignment="1">
      <alignment horizontal="left"/>
    </xf>
    <xf numFmtId="10" fontId="0" fillId="3" borderId="0" xfId="0" applyNumberFormat="1" applyFill="1" applyAlignment="1">
      <alignment/>
    </xf>
    <xf numFmtId="1" fontId="0" fillId="3" borderId="1" xfId="0" applyNumberFormat="1" applyFill="1" applyBorder="1" applyAlignment="1">
      <alignment/>
    </xf>
    <xf numFmtId="186" fontId="6" fillId="3" borderId="0" xfId="0" applyNumberFormat="1" applyFont="1" applyFill="1" applyAlignment="1">
      <alignment horizontal="left"/>
    </xf>
    <xf numFmtId="37" fontId="0" fillId="0" borderId="0" xfId="0" applyNumberFormat="1" applyFill="1" applyAlignment="1">
      <alignment/>
    </xf>
    <xf numFmtId="16" fontId="0" fillId="3" borderId="0" xfId="0" applyNumberFormat="1" applyFont="1" applyFill="1" applyAlignment="1">
      <alignment/>
    </xf>
    <xf numFmtId="178" fontId="0" fillId="3" borderId="0" xfId="0" applyNumberFormat="1" applyFill="1" applyAlignment="1">
      <alignment/>
    </xf>
    <xf numFmtId="43" fontId="0" fillId="3" borderId="0" xfId="15" applyFill="1" applyAlignment="1">
      <alignment/>
    </xf>
    <xf numFmtId="43" fontId="0" fillId="3" borderId="1" xfId="15" applyNumberFormat="1" applyFill="1" applyBorder="1" applyAlignment="1">
      <alignment/>
    </xf>
    <xf numFmtId="10" fontId="0" fillId="4" borderId="0" xfId="0" applyNumberFormat="1" applyFill="1" applyAlignment="1">
      <alignment/>
    </xf>
    <xf numFmtId="0" fontId="0" fillId="3" borderId="0" xfId="0" applyFill="1" applyAlignment="1">
      <alignment horizontal="right"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184" fontId="0" fillId="3" borderId="0" xfId="15" applyNumberFormat="1" applyFill="1" applyAlignment="1">
      <alignment/>
    </xf>
    <xf numFmtId="37" fontId="0" fillId="3" borderId="1" xfId="0" applyNumberFormat="1" applyFont="1" applyFill="1" applyBorder="1" applyAlignment="1">
      <alignment/>
    </xf>
    <xf numFmtId="37" fontId="0" fillId="3" borderId="2" xfId="0" applyNumberFormat="1" applyFill="1" applyBorder="1" applyAlignment="1">
      <alignment/>
    </xf>
    <xf numFmtId="1" fontId="0" fillId="3" borderId="1" xfId="0" applyNumberFormat="1" applyFill="1" applyBorder="1" applyAlignment="1">
      <alignment horizontal="center"/>
    </xf>
    <xf numFmtId="184" fontId="0" fillId="3" borderId="0" xfId="0" applyNumberFormat="1" applyFill="1" applyAlignment="1">
      <alignment/>
    </xf>
    <xf numFmtId="184" fontId="0" fillId="3" borderId="0" xfId="0" applyNumberFormat="1" applyFill="1" applyBorder="1" applyAlignment="1">
      <alignment/>
    </xf>
    <xf numFmtId="43" fontId="0" fillId="0" borderId="0" xfId="15" applyAlignment="1">
      <alignment/>
    </xf>
    <xf numFmtId="43" fontId="0" fillId="0" borderId="0" xfId="15" applyFill="1" applyAlignment="1">
      <alignment/>
    </xf>
    <xf numFmtId="0" fontId="0" fillId="3" borderId="0" xfId="0" applyFont="1" applyFill="1" applyBorder="1" applyAlignment="1">
      <alignment/>
    </xf>
    <xf numFmtId="189" fontId="0" fillId="3" borderId="0" xfId="0" applyNumberFormat="1" applyFill="1" applyAlignment="1">
      <alignment/>
    </xf>
    <xf numFmtId="39" fontId="0" fillId="3" borderId="0" xfId="15" applyNumberFormat="1" applyFill="1" applyAlignment="1">
      <alignment/>
    </xf>
    <xf numFmtId="43" fontId="0" fillId="3" borderId="0" xfId="15" applyNumberFormat="1" applyFill="1" applyAlignment="1">
      <alignment/>
    </xf>
    <xf numFmtId="43" fontId="0" fillId="3" borderId="0" xfId="0" applyNumberFormat="1" applyFill="1" applyAlignment="1">
      <alignment/>
    </xf>
    <xf numFmtId="43" fontId="0" fillId="3" borderId="1" xfId="15" applyFill="1" applyBorder="1" applyAlignment="1">
      <alignment/>
    </xf>
    <xf numFmtId="184" fontId="0" fillId="3" borderId="1" xfId="15" applyNumberFormat="1" applyFill="1" applyBorder="1" applyAlignment="1">
      <alignment/>
    </xf>
    <xf numFmtId="184" fontId="0" fillId="3" borderId="1" xfId="0" applyNumberFormat="1" applyFill="1" applyBorder="1" applyAlignment="1">
      <alignment/>
    </xf>
    <xf numFmtId="39" fontId="0" fillId="3" borderId="2" xfId="0" applyNumberFormat="1" applyFill="1" applyBorder="1" applyAlignment="1">
      <alignment/>
    </xf>
    <xf numFmtId="43" fontId="0" fillId="3" borderId="0" xfId="15" applyFill="1" applyAlignment="1">
      <alignment horizontal="left"/>
    </xf>
    <xf numFmtId="184" fontId="0" fillId="3" borderId="0" xfId="15" applyNumberFormat="1" applyFill="1" applyAlignment="1">
      <alignment horizontal="left"/>
    </xf>
    <xf numFmtId="37" fontId="0" fillId="3" borderId="3" xfId="0" applyNumberFormat="1" applyFill="1" applyBorder="1" applyAlignment="1">
      <alignment/>
    </xf>
    <xf numFmtId="37" fontId="0" fillId="3" borderId="4" xfId="0" applyNumberFormat="1" applyFill="1" applyBorder="1" applyAlignment="1">
      <alignment/>
    </xf>
    <xf numFmtId="37" fontId="0" fillId="3" borderId="5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9"/>
  <sheetViews>
    <sheetView tabSelected="1" view="pageBreakPreview" zoomScale="80" zoomScaleNormal="85" zoomScaleSheetLayoutView="8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" sqref="E1"/>
    </sheetView>
  </sheetViews>
  <sheetFormatPr defaultColWidth="9.140625" defaultRowHeight="12.75"/>
  <cols>
    <col min="1" max="1" width="10.28125" style="0" customWidth="1"/>
    <col min="2" max="2" width="12.7109375" style="0" customWidth="1"/>
    <col min="3" max="3" width="10.8515625" style="0" customWidth="1"/>
    <col min="4" max="4" width="18.57421875" style="0" customWidth="1"/>
    <col min="5" max="5" width="12.28125" style="0" customWidth="1"/>
    <col min="6" max="6" width="16.7109375" style="0" customWidth="1"/>
    <col min="7" max="7" width="17.421875" style="0" customWidth="1"/>
    <col min="8" max="8" width="17.00390625" style="0" customWidth="1"/>
    <col min="9" max="13" width="16.8515625" style="0" customWidth="1"/>
    <col min="14" max="14" width="13.421875" style="0" hidden="1" customWidth="1"/>
    <col min="15" max="15" width="13.57421875" style="0" hidden="1" customWidth="1"/>
    <col min="16" max="16" width="13.421875" style="0" hidden="1" customWidth="1"/>
    <col min="17" max="17" width="15.7109375" style="1" customWidth="1"/>
    <col min="18" max="19" width="11.7109375" style="0" customWidth="1"/>
  </cols>
  <sheetData>
    <row r="1" spans="1:19" ht="15.75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6"/>
      <c r="S1" s="6"/>
    </row>
    <row r="2" spans="1:19" ht="15.7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</row>
    <row r="3" spans="1:19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6"/>
      <c r="S3" s="6"/>
    </row>
    <row r="4" spans="1:19" ht="12.75">
      <c r="A4" s="9" t="s">
        <v>26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6"/>
    </row>
    <row r="5" spans="1:19" ht="12.75">
      <c r="A5" s="6" t="s">
        <v>0</v>
      </c>
      <c r="B5" s="6"/>
      <c r="C5" s="6"/>
      <c r="D5" s="10">
        <v>0.02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6"/>
      <c r="S5" s="6"/>
    </row>
    <row r="6" spans="1:19" ht="12.75">
      <c r="A6" s="6" t="s">
        <v>1</v>
      </c>
      <c r="B6" s="6"/>
      <c r="C6" s="6"/>
      <c r="D6" s="10">
        <v>0.06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6"/>
      <c r="S6" s="6"/>
    </row>
    <row r="7" spans="1:19" ht="12.75">
      <c r="A7" s="11" t="s">
        <v>2</v>
      </c>
      <c r="B7" s="11"/>
      <c r="C7" s="11"/>
      <c r="D7" s="11"/>
      <c r="E7" s="11"/>
      <c r="F7" s="12">
        <v>0</v>
      </c>
      <c r="G7" s="12">
        <f aca="true" t="shared" si="0" ref="G7:P7">F7+1</f>
        <v>1</v>
      </c>
      <c r="H7" s="12">
        <f t="shared" si="0"/>
        <v>2</v>
      </c>
      <c r="I7" s="12">
        <f t="shared" si="0"/>
        <v>3</v>
      </c>
      <c r="J7" s="12">
        <f t="shared" si="0"/>
        <v>4</v>
      </c>
      <c r="K7" s="12">
        <f t="shared" si="0"/>
        <v>5</v>
      </c>
      <c r="L7" s="12">
        <f t="shared" si="0"/>
        <v>6</v>
      </c>
      <c r="M7" s="12">
        <f t="shared" si="0"/>
        <v>7</v>
      </c>
      <c r="N7" s="12">
        <f t="shared" si="0"/>
        <v>8</v>
      </c>
      <c r="O7" s="12">
        <f t="shared" si="0"/>
        <v>9</v>
      </c>
      <c r="P7" s="12">
        <f t="shared" si="0"/>
        <v>10</v>
      </c>
      <c r="Q7" s="13" t="s">
        <v>3</v>
      </c>
      <c r="R7" s="6"/>
      <c r="S7" s="6"/>
    </row>
    <row r="8" spans="1:19" ht="12.75">
      <c r="A8" s="9" t="s">
        <v>4</v>
      </c>
      <c r="B8" s="9"/>
      <c r="C8" s="6"/>
      <c r="D8" s="35" t="s">
        <v>49</v>
      </c>
      <c r="E8" s="6"/>
      <c r="F8" s="6"/>
      <c r="G8" s="10"/>
      <c r="H8" s="6"/>
      <c r="I8" s="6"/>
      <c r="J8" s="6"/>
      <c r="K8" s="6"/>
      <c r="L8" s="6"/>
      <c r="M8" s="6"/>
      <c r="N8" s="6"/>
      <c r="O8" s="6"/>
      <c r="P8" s="6"/>
      <c r="Q8" s="7"/>
      <c r="R8" s="6"/>
      <c r="S8" s="6"/>
    </row>
    <row r="9" spans="1:19" ht="12.75">
      <c r="A9" s="9"/>
      <c r="B9" s="9"/>
      <c r="C9" s="6"/>
      <c r="D9" s="35"/>
      <c r="E9" s="6"/>
      <c r="F9" s="6"/>
      <c r="G9" s="10"/>
      <c r="H9" s="6"/>
      <c r="I9" s="6"/>
      <c r="J9" s="6"/>
      <c r="K9" s="6"/>
      <c r="L9" s="6"/>
      <c r="M9" s="6"/>
      <c r="N9" s="6"/>
      <c r="O9" s="6"/>
      <c r="P9" s="6"/>
      <c r="Q9" s="7"/>
      <c r="R9" s="6"/>
      <c r="S9" s="6"/>
    </row>
    <row r="10" spans="1:19" ht="12.75">
      <c r="A10" s="14" t="s">
        <v>30</v>
      </c>
      <c r="B10" s="14" t="s">
        <v>29</v>
      </c>
      <c r="C10" s="6"/>
      <c r="D10" s="7">
        <v>30</v>
      </c>
      <c r="E10" s="15"/>
      <c r="F10" s="31">
        <v>30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15">
        <v>0</v>
      </c>
      <c r="O10" s="15">
        <v>0</v>
      </c>
      <c r="P10" s="15">
        <v>0</v>
      </c>
      <c r="Q10" s="7">
        <f>E10+F10+G10+H10+I10+J10+K10+L10+M10+N10+O10+P10</f>
        <v>30</v>
      </c>
      <c r="R10" s="6"/>
      <c r="S10" s="6"/>
    </row>
    <row r="11" spans="1:19" ht="12.75">
      <c r="A11" s="14"/>
      <c r="B11" s="14"/>
      <c r="C11" s="6"/>
      <c r="D11" s="7"/>
      <c r="E11" s="15"/>
      <c r="F11" s="31"/>
      <c r="G11" s="32"/>
      <c r="H11" s="32"/>
      <c r="I11" s="32"/>
      <c r="J11" s="32"/>
      <c r="K11" s="32"/>
      <c r="L11" s="32"/>
      <c r="M11" s="32"/>
      <c r="N11" s="15"/>
      <c r="O11" s="15"/>
      <c r="P11" s="15"/>
      <c r="Q11" s="7"/>
      <c r="R11" s="6"/>
      <c r="S11" s="6"/>
    </row>
    <row r="12" spans="1:19" ht="12.75">
      <c r="A12" s="14" t="s">
        <v>76</v>
      </c>
      <c r="B12" s="14" t="s">
        <v>72</v>
      </c>
      <c r="C12" s="6"/>
      <c r="D12" s="7">
        <v>1.86</v>
      </c>
      <c r="E12" s="15"/>
      <c r="F12" s="32">
        <v>0</v>
      </c>
      <c r="G12" s="31">
        <v>0</v>
      </c>
      <c r="H12" s="32">
        <v>1.86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15">
        <v>0</v>
      </c>
      <c r="O12" s="15">
        <v>0</v>
      </c>
      <c r="P12" s="15">
        <v>0</v>
      </c>
      <c r="Q12" s="7">
        <f aca="true" t="shared" si="1" ref="Q12:Q46">E12+F12+G12+H12+I12+J12+K12+L12+M12+N12+O12+P12</f>
        <v>1.86</v>
      </c>
      <c r="R12" s="6"/>
      <c r="S12" s="6"/>
    </row>
    <row r="13" spans="1:19" ht="12.75">
      <c r="A13" s="14" t="s">
        <v>76</v>
      </c>
      <c r="B13" s="14" t="s">
        <v>73</v>
      </c>
      <c r="C13" s="6"/>
      <c r="D13" s="7">
        <v>1.2</v>
      </c>
      <c r="E13" s="15"/>
      <c r="F13" s="32">
        <v>0</v>
      </c>
      <c r="G13" s="7">
        <v>1.2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15">
        <v>0</v>
      </c>
      <c r="O13" s="15">
        <v>0</v>
      </c>
      <c r="P13" s="15">
        <v>0</v>
      </c>
      <c r="Q13" s="7">
        <f t="shared" si="1"/>
        <v>1.2</v>
      </c>
      <c r="R13" s="6"/>
      <c r="S13" s="6"/>
    </row>
    <row r="14" spans="1:19" ht="12.75">
      <c r="A14" s="14" t="s">
        <v>76</v>
      </c>
      <c r="B14" s="30" t="s">
        <v>74</v>
      </c>
      <c r="C14" s="6"/>
      <c r="D14" s="7">
        <v>1.38</v>
      </c>
      <c r="E14" s="15"/>
      <c r="F14" s="32">
        <v>0</v>
      </c>
      <c r="G14" s="7">
        <v>1.38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15">
        <v>0</v>
      </c>
      <c r="O14" s="15">
        <v>0</v>
      </c>
      <c r="P14" s="15">
        <v>0</v>
      </c>
      <c r="Q14" s="7">
        <f t="shared" si="1"/>
        <v>1.38</v>
      </c>
      <c r="R14" s="6"/>
      <c r="S14" s="6"/>
    </row>
    <row r="15" spans="1:19" ht="12.75">
      <c r="A15" s="14" t="s">
        <v>76</v>
      </c>
      <c r="B15" s="14" t="s">
        <v>75</v>
      </c>
      <c r="C15" s="6"/>
      <c r="D15" s="7">
        <v>1.39</v>
      </c>
      <c r="E15" s="15"/>
      <c r="F15" s="32">
        <v>0</v>
      </c>
      <c r="G15" s="32">
        <v>0</v>
      </c>
      <c r="H15" s="7">
        <v>1.39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15">
        <v>0</v>
      </c>
      <c r="O15" s="15">
        <v>0</v>
      </c>
      <c r="P15" s="15">
        <v>0</v>
      </c>
      <c r="Q15" s="7">
        <f t="shared" si="1"/>
        <v>1.39</v>
      </c>
      <c r="R15" s="6"/>
      <c r="S15" s="6"/>
    </row>
    <row r="16" spans="1:19" ht="12.75">
      <c r="A16" s="14" t="s">
        <v>76</v>
      </c>
      <c r="B16" s="14" t="s">
        <v>77</v>
      </c>
      <c r="C16" s="6"/>
      <c r="D16" s="7">
        <v>1.53</v>
      </c>
      <c r="E16" s="15"/>
      <c r="F16" s="32">
        <v>0</v>
      </c>
      <c r="G16" s="32">
        <v>0</v>
      </c>
      <c r="H16" s="7">
        <v>1.53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15"/>
      <c r="O16" s="15"/>
      <c r="P16" s="15"/>
      <c r="Q16" s="7">
        <f t="shared" si="1"/>
        <v>1.53</v>
      </c>
      <c r="R16" s="6"/>
      <c r="S16" s="6"/>
    </row>
    <row r="17" spans="1:19" ht="12.75">
      <c r="A17" s="46" t="s">
        <v>76</v>
      </c>
      <c r="B17" s="14" t="s">
        <v>78</v>
      </c>
      <c r="C17" s="6"/>
      <c r="D17" s="7">
        <v>1.39</v>
      </c>
      <c r="E17" s="15"/>
      <c r="F17" s="32">
        <v>0</v>
      </c>
      <c r="G17" s="32">
        <v>0</v>
      </c>
      <c r="H17" s="7">
        <v>1.39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15"/>
      <c r="O17" s="15"/>
      <c r="P17" s="15"/>
      <c r="Q17" s="7">
        <f t="shared" si="1"/>
        <v>1.39</v>
      </c>
      <c r="R17" s="6"/>
      <c r="S17" s="6"/>
    </row>
    <row r="18" spans="1:19" ht="12.75">
      <c r="A18" s="46"/>
      <c r="B18" s="14"/>
      <c r="C18" s="6"/>
      <c r="D18" s="7"/>
      <c r="E18" s="15"/>
      <c r="F18" s="32"/>
      <c r="G18" s="32"/>
      <c r="H18" s="7"/>
      <c r="I18" s="32"/>
      <c r="J18" s="32"/>
      <c r="K18" s="32"/>
      <c r="L18" s="32"/>
      <c r="M18" s="32"/>
      <c r="N18" s="15"/>
      <c r="O18" s="15"/>
      <c r="P18" s="15"/>
      <c r="Q18" s="7"/>
      <c r="R18" s="6"/>
      <c r="S18" s="6"/>
    </row>
    <row r="19" spans="1:19" ht="12.75">
      <c r="A19" s="6" t="s">
        <v>76</v>
      </c>
      <c r="B19" s="6" t="s">
        <v>70</v>
      </c>
      <c r="C19" s="6"/>
      <c r="D19" s="7">
        <v>1.94</v>
      </c>
      <c r="E19" s="15"/>
      <c r="F19" s="32">
        <v>0</v>
      </c>
      <c r="G19" s="31">
        <v>1.94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15">
        <v>0</v>
      </c>
      <c r="O19" s="15">
        <v>0</v>
      </c>
      <c r="P19" s="15">
        <v>0</v>
      </c>
      <c r="Q19" s="7">
        <f t="shared" si="1"/>
        <v>1.94</v>
      </c>
      <c r="R19" s="6"/>
      <c r="S19" s="6"/>
    </row>
    <row r="20" spans="1:19" ht="12.75">
      <c r="A20" s="6" t="s">
        <v>76</v>
      </c>
      <c r="B20" s="6" t="s">
        <v>71</v>
      </c>
      <c r="C20" s="6"/>
      <c r="D20" s="7">
        <v>1.34</v>
      </c>
      <c r="E20" s="15"/>
      <c r="F20" s="32">
        <v>0</v>
      </c>
      <c r="G20" s="31">
        <v>0</v>
      </c>
      <c r="H20" s="32">
        <v>0</v>
      </c>
      <c r="I20" s="32">
        <v>1.34</v>
      </c>
      <c r="J20" s="32">
        <v>0</v>
      </c>
      <c r="K20" s="32">
        <v>0</v>
      </c>
      <c r="L20" s="32">
        <v>0</v>
      </c>
      <c r="M20" s="32">
        <v>0</v>
      </c>
      <c r="N20" s="15"/>
      <c r="O20" s="15"/>
      <c r="P20" s="15"/>
      <c r="Q20" s="7">
        <f t="shared" si="1"/>
        <v>1.34</v>
      </c>
      <c r="R20" s="6"/>
      <c r="S20" s="6"/>
    </row>
    <row r="21" spans="1:19" ht="12.75">
      <c r="A21" s="6" t="s">
        <v>76</v>
      </c>
      <c r="B21" s="6" t="s">
        <v>79</v>
      </c>
      <c r="C21" s="6"/>
      <c r="D21" s="7">
        <v>2.2</v>
      </c>
      <c r="E21" s="15"/>
      <c r="F21" s="32">
        <v>0</v>
      </c>
      <c r="G21" s="31">
        <v>0</v>
      </c>
      <c r="H21" s="32">
        <v>2.2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15"/>
      <c r="O21" s="15"/>
      <c r="P21" s="15"/>
      <c r="Q21" s="7">
        <f t="shared" si="1"/>
        <v>2.2</v>
      </c>
      <c r="R21" s="6"/>
      <c r="S21" s="6"/>
    </row>
    <row r="22" spans="1:19" ht="12.75">
      <c r="A22" s="6" t="s">
        <v>76</v>
      </c>
      <c r="B22" s="6" t="s">
        <v>80</v>
      </c>
      <c r="C22" s="6"/>
      <c r="D22" s="7">
        <v>1.09</v>
      </c>
      <c r="E22" s="15"/>
      <c r="F22" s="32">
        <v>0</v>
      </c>
      <c r="G22" s="31">
        <v>0</v>
      </c>
      <c r="H22" s="32">
        <v>0</v>
      </c>
      <c r="I22" s="32">
        <v>0</v>
      </c>
      <c r="J22" s="32">
        <v>1.09</v>
      </c>
      <c r="K22" s="32">
        <v>0</v>
      </c>
      <c r="L22" s="32">
        <v>0</v>
      </c>
      <c r="M22" s="32">
        <v>0</v>
      </c>
      <c r="N22" s="15"/>
      <c r="O22" s="15"/>
      <c r="P22" s="15"/>
      <c r="Q22" s="7">
        <f t="shared" si="1"/>
        <v>1.09</v>
      </c>
      <c r="R22" s="6"/>
      <c r="S22" s="6"/>
    </row>
    <row r="23" spans="1:19" ht="12.75">
      <c r="A23" s="6" t="s">
        <v>76</v>
      </c>
      <c r="B23" s="6" t="s">
        <v>81</v>
      </c>
      <c r="C23" s="6"/>
      <c r="D23" s="7">
        <v>1.52</v>
      </c>
      <c r="E23" s="15"/>
      <c r="F23" s="32">
        <v>0</v>
      </c>
      <c r="G23" s="31">
        <v>0</v>
      </c>
      <c r="H23" s="32">
        <v>0</v>
      </c>
      <c r="I23" s="32">
        <v>1.52</v>
      </c>
      <c r="J23" s="32">
        <v>0</v>
      </c>
      <c r="K23" s="32">
        <v>0</v>
      </c>
      <c r="L23" s="32">
        <v>0</v>
      </c>
      <c r="M23" s="32">
        <v>0</v>
      </c>
      <c r="N23" s="15"/>
      <c r="O23" s="15"/>
      <c r="P23" s="15"/>
      <c r="Q23" s="7">
        <f t="shared" si="1"/>
        <v>1.52</v>
      </c>
      <c r="R23" s="6"/>
      <c r="S23" s="6"/>
    </row>
    <row r="24" spans="1:19" ht="12.75">
      <c r="A24" s="6" t="s">
        <v>76</v>
      </c>
      <c r="B24" s="6" t="s">
        <v>82</v>
      </c>
      <c r="C24" s="6"/>
      <c r="D24" s="7">
        <v>1.45</v>
      </c>
      <c r="E24" s="15"/>
      <c r="F24" s="32">
        <v>0</v>
      </c>
      <c r="G24" s="32">
        <v>0</v>
      </c>
      <c r="H24" s="32">
        <v>0</v>
      </c>
      <c r="I24" s="32">
        <v>1.45</v>
      </c>
      <c r="J24" s="32">
        <v>0</v>
      </c>
      <c r="K24" s="32">
        <v>0</v>
      </c>
      <c r="L24" s="32">
        <v>0</v>
      </c>
      <c r="M24" s="32">
        <v>0</v>
      </c>
      <c r="N24" s="15">
        <v>0</v>
      </c>
      <c r="O24" s="15">
        <v>0</v>
      </c>
      <c r="P24" s="15">
        <v>0</v>
      </c>
      <c r="Q24" s="7">
        <f t="shared" si="1"/>
        <v>1.45</v>
      </c>
      <c r="R24" s="6"/>
      <c r="S24" s="6"/>
    </row>
    <row r="25" spans="1:19" ht="12.75">
      <c r="A25" s="6"/>
      <c r="B25" s="6"/>
      <c r="C25" s="6"/>
      <c r="D25" s="7"/>
      <c r="E25" s="15"/>
      <c r="F25" s="32"/>
      <c r="G25" s="32"/>
      <c r="H25" s="31"/>
      <c r="I25" s="32"/>
      <c r="J25" s="32"/>
      <c r="K25" s="32"/>
      <c r="L25" s="32"/>
      <c r="M25" s="32"/>
      <c r="N25" s="15"/>
      <c r="O25" s="15"/>
      <c r="P25" s="15"/>
      <c r="Q25" s="7"/>
      <c r="R25" s="6"/>
      <c r="S25" s="6"/>
    </row>
    <row r="26" spans="1:19" ht="12.75">
      <c r="A26" s="6" t="s">
        <v>76</v>
      </c>
      <c r="B26" s="6" t="s">
        <v>83</v>
      </c>
      <c r="C26" s="6"/>
      <c r="D26" s="31">
        <v>1.26</v>
      </c>
      <c r="E26" s="15"/>
      <c r="F26" s="32">
        <v>0</v>
      </c>
      <c r="G26" s="32">
        <v>0</v>
      </c>
      <c r="H26" s="7">
        <v>1.26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15"/>
      <c r="O26" s="15"/>
      <c r="P26" s="15"/>
      <c r="Q26" s="7">
        <f t="shared" si="1"/>
        <v>1.26</v>
      </c>
      <c r="R26" s="6"/>
      <c r="S26" s="6"/>
    </row>
    <row r="27" spans="1:19" ht="12.75">
      <c r="A27" s="6" t="s">
        <v>76</v>
      </c>
      <c r="B27" s="6" t="s">
        <v>84</v>
      </c>
      <c r="C27" s="6"/>
      <c r="D27" s="7">
        <v>0.94</v>
      </c>
      <c r="E27" s="15"/>
      <c r="F27" s="32">
        <v>0</v>
      </c>
      <c r="G27" s="32">
        <v>0</v>
      </c>
      <c r="H27" s="48">
        <v>0.94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15">
        <v>0</v>
      </c>
      <c r="O27" s="15">
        <v>0</v>
      </c>
      <c r="P27" s="15">
        <v>0</v>
      </c>
      <c r="Q27" s="7">
        <f t="shared" si="1"/>
        <v>0.94</v>
      </c>
      <c r="R27" s="6"/>
      <c r="S27" s="6"/>
    </row>
    <row r="28" spans="1:19" s="3" customFormat="1" ht="13.5" customHeight="1">
      <c r="A28" s="6" t="s">
        <v>76</v>
      </c>
      <c r="B28" s="6" t="s">
        <v>85</v>
      </c>
      <c r="C28" s="6"/>
      <c r="D28" s="7">
        <v>11.9</v>
      </c>
      <c r="E28" s="15"/>
      <c r="F28" s="32">
        <v>0</v>
      </c>
      <c r="G28" s="32">
        <v>0</v>
      </c>
      <c r="H28" s="32">
        <v>0</v>
      </c>
      <c r="I28" s="7">
        <v>11.9</v>
      </c>
      <c r="J28" s="32">
        <v>0</v>
      </c>
      <c r="K28" s="32">
        <v>0</v>
      </c>
      <c r="L28" s="32">
        <v>0</v>
      </c>
      <c r="M28" s="32">
        <v>0</v>
      </c>
      <c r="N28" s="15"/>
      <c r="O28" s="15"/>
      <c r="P28" s="15"/>
      <c r="Q28" s="7">
        <f t="shared" si="1"/>
        <v>11.9</v>
      </c>
      <c r="R28" s="6"/>
      <c r="S28" s="6"/>
    </row>
    <row r="29" spans="1:19" s="3" customFormat="1" ht="13.5" customHeight="1">
      <c r="A29" s="6"/>
      <c r="B29" s="6"/>
      <c r="C29" s="6"/>
      <c r="D29" s="7"/>
      <c r="E29" s="15"/>
      <c r="F29" s="32"/>
      <c r="G29" s="32"/>
      <c r="H29" s="32"/>
      <c r="I29" s="15"/>
      <c r="J29" s="32"/>
      <c r="K29" s="32"/>
      <c r="L29" s="32"/>
      <c r="M29" s="32"/>
      <c r="N29" s="15"/>
      <c r="O29" s="15"/>
      <c r="P29" s="15"/>
      <c r="Q29" s="7"/>
      <c r="R29" s="6"/>
      <c r="S29" s="6"/>
    </row>
    <row r="30" spans="1:19" s="3" customFormat="1" ht="13.5" customHeight="1">
      <c r="A30" s="6" t="s">
        <v>76</v>
      </c>
      <c r="B30" s="6" t="s">
        <v>86</v>
      </c>
      <c r="C30" s="6"/>
      <c r="D30" s="7">
        <v>1.22</v>
      </c>
      <c r="E30" s="15"/>
      <c r="F30" s="32">
        <v>0</v>
      </c>
      <c r="G30" s="32">
        <v>0</v>
      </c>
      <c r="H30" s="49">
        <v>1.22</v>
      </c>
      <c r="I30" s="50">
        <v>0</v>
      </c>
      <c r="J30" s="32">
        <v>0</v>
      </c>
      <c r="K30" s="32">
        <v>0</v>
      </c>
      <c r="L30" s="32">
        <v>0</v>
      </c>
      <c r="M30" s="32">
        <v>0</v>
      </c>
      <c r="N30" s="15"/>
      <c r="O30" s="15"/>
      <c r="P30" s="15"/>
      <c r="Q30" s="7">
        <f t="shared" si="1"/>
        <v>1.22</v>
      </c>
      <c r="R30" s="6"/>
      <c r="S30" s="6"/>
    </row>
    <row r="31" spans="1:19" s="3" customFormat="1" ht="13.5" customHeight="1">
      <c r="A31" s="6" t="s">
        <v>76</v>
      </c>
      <c r="B31" s="6" t="s">
        <v>87</v>
      </c>
      <c r="C31" s="6"/>
      <c r="D31" s="7">
        <v>1.11</v>
      </c>
      <c r="E31" s="15"/>
      <c r="F31" s="32">
        <v>0</v>
      </c>
      <c r="G31" s="32">
        <v>0</v>
      </c>
      <c r="H31" s="49">
        <v>0</v>
      </c>
      <c r="I31" s="50">
        <v>1.11</v>
      </c>
      <c r="J31" s="32">
        <v>0</v>
      </c>
      <c r="K31" s="32">
        <v>0</v>
      </c>
      <c r="L31" s="32">
        <v>0</v>
      </c>
      <c r="M31" s="32">
        <v>0</v>
      </c>
      <c r="N31" s="15"/>
      <c r="O31" s="15"/>
      <c r="P31" s="15"/>
      <c r="Q31" s="7">
        <f t="shared" si="1"/>
        <v>1.11</v>
      </c>
      <c r="R31" s="6"/>
      <c r="S31" s="6"/>
    </row>
    <row r="32" spans="1:19" s="3" customFormat="1" ht="13.5" customHeight="1">
      <c r="A32" s="6" t="s">
        <v>76</v>
      </c>
      <c r="B32" s="6" t="s">
        <v>88</v>
      </c>
      <c r="C32" s="6"/>
      <c r="D32" s="7">
        <v>1.04</v>
      </c>
      <c r="E32" s="15"/>
      <c r="F32" s="32">
        <v>0</v>
      </c>
      <c r="G32" s="32">
        <v>0</v>
      </c>
      <c r="H32" s="49">
        <v>0</v>
      </c>
      <c r="I32" s="50">
        <v>1.04</v>
      </c>
      <c r="J32" s="32">
        <v>0</v>
      </c>
      <c r="K32" s="32">
        <v>0</v>
      </c>
      <c r="L32" s="32">
        <v>0</v>
      </c>
      <c r="M32" s="32">
        <v>0</v>
      </c>
      <c r="N32" s="15"/>
      <c r="O32" s="15"/>
      <c r="P32" s="15"/>
      <c r="Q32" s="7">
        <f t="shared" si="1"/>
        <v>1.04</v>
      </c>
      <c r="R32" s="6"/>
      <c r="S32" s="6"/>
    </row>
    <row r="33" spans="1:19" s="3" customFormat="1" ht="13.5" customHeight="1">
      <c r="A33" s="6" t="s">
        <v>76</v>
      </c>
      <c r="B33" s="6" t="s">
        <v>89</v>
      </c>
      <c r="C33" s="6"/>
      <c r="D33" s="7">
        <v>1.05</v>
      </c>
      <c r="E33" s="15"/>
      <c r="F33" s="32">
        <v>0</v>
      </c>
      <c r="G33" s="32">
        <v>0</v>
      </c>
      <c r="H33" s="49">
        <v>1.05</v>
      </c>
      <c r="I33" s="50">
        <v>0</v>
      </c>
      <c r="J33" s="32">
        <v>0</v>
      </c>
      <c r="K33" s="32">
        <v>0</v>
      </c>
      <c r="L33" s="32">
        <v>0</v>
      </c>
      <c r="M33" s="32">
        <v>0</v>
      </c>
      <c r="N33" s="15"/>
      <c r="O33" s="15"/>
      <c r="P33" s="15"/>
      <c r="Q33" s="7">
        <f t="shared" si="1"/>
        <v>1.05</v>
      </c>
      <c r="R33" s="6"/>
      <c r="S33" s="6"/>
    </row>
    <row r="34" spans="1:19" s="3" customFormat="1" ht="13.5" customHeight="1">
      <c r="A34" s="6" t="s">
        <v>76</v>
      </c>
      <c r="B34" s="6" t="s">
        <v>90</v>
      </c>
      <c r="C34" s="6"/>
      <c r="D34" s="7">
        <v>9.27</v>
      </c>
      <c r="E34" s="15"/>
      <c r="F34" s="32">
        <v>0</v>
      </c>
      <c r="G34" s="32">
        <v>0</v>
      </c>
      <c r="H34" s="49">
        <v>0</v>
      </c>
      <c r="I34" s="50">
        <v>9.27</v>
      </c>
      <c r="J34" s="32">
        <v>0</v>
      </c>
      <c r="K34" s="32">
        <v>0</v>
      </c>
      <c r="L34" s="32">
        <v>0</v>
      </c>
      <c r="M34" s="32">
        <v>0</v>
      </c>
      <c r="N34" s="15"/>
      <c r="O34" s="15"/>
      <c r="P34" s="15"/>
      <c r="Q34" s="7">
        <f t="shared" si="1"/>
        <v>9.27</v>
      </c>
      <c r="R34" s="6"/>
      <c r="S34" s="6"/>
    </row>
    <row r="35" spans="1:19" s="3" customFormat="1" ht="13.5" customHeight="1">
      <c r="A35" s="6"/>
      <c r="B35" s="6"/>
      <c r="C35" s="6"/>
      <c r="D35" s="7"/>
      <c r="E35" s="15"/>
      <c r="F35" s="32"/>
      <c r="G35" s="32"/>
      <c r="H35" s="49"/>
      <c r="I35" s="50"/>
      <c r="J35" s="32"/>
      <c r="K35" s="32"/>
      <c r="L35" s="32"/>
      <c r="M35" s="32"/>
      <c r="N35" s="15"/>
      <c r="O35" s="15"/>
      <c r="P35" s="15"/>
      <c r="Q35" s="7"/>
      <c r="R35" s="6"/>
      <c r="S35" s="6"/>
    </row>
    <row r="36" spans="1:19" s="3" customFormat="1" ht="13.5" customHeight="1">
      <c r="A36" s="6" t="s">
        <v>76</v>
      </c>
      <c r="B36" s="6" t="s">
        <v>91</v>
      </c>
      <c r="C36" s="6"/>
      <c r="D36" s="7">
        <v>1.14</v>
      </c>
      <c r="E36" s="15"/>
      <c r="F36" s="32">
        <v>0</v>
      </c>
      <c r="G36" s="32">
        <v>0</v>
      </c>
      <c r="H36" s="32">
        <v>1.14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15"/>
      <c r="O36" s="15"/>
      <c r="P36" s="15"/>
      <c r="Q36" s="7">
        <f t="shared" si="1"/>
        <v>1.14</v>
      </c>
      <c r="R36" s="6"/>
      <c r="S36" s="6"/>
    </row>
    <row r="37" spans="1:19" s="3" customFormat="1" ht="13.5" customHeight="1">
      <c r="A37" s="6" t="s">
        <v>76</v>
      </c>
      <c r="B37" s="6" t="s">
        <v>92</v>
      </c>
      <c r="C37" s="6"/>
      <c r="D37" s="7">
        <v>2.45</v>
      </c>
      <c r="E37" s="15"/>
      <c r="F37" s="32">
        <v>0</v>
      </c>
      <c r="G37" s="32">
        <v>0</v>
      </c>
      <c r="H37" s="32">
        <v>0</v>
      </c>
      <c r="I37" s="32">
        <v>2.45</v>
      </c>
      <c r="J37" s="32">
        <v>0</v>
      </c>
      <c r="K37" s="32">
        <v>0</v>
      </c>
      <c r="L37" s="32">
        <v>0</v>
      </c>
      <c r="M37" s="32">
        <v>0</v>
      </c>
      <c r="N37" s="15"/>
      <c r="O37" s="15"/>
      <c r="P37" s="15"/>
      <c r="Q37" s="7">
        <f t="shared" si="1"/>
        <v>2.45</v>
      </c>
      <c r="R37" s="6"/>
      <c r="S37" s="6"/>
    </row>
    <row r="38" spans="1:19" s="3" customFormat="1" ht="13.5" customHeight="1">
      <c r="A38" s="6" t="s">
        <v>76</v>
      </c>
      <c r="B38" s="6" t="s">
        <v>93</v>
      </c>
      <c r="C38" s="6"/>
      <c r="D38" s="7">
        <v>3.93</v>
      </c>
      <c r="E38" s="15"/>
      <c r="F38" s="32">
        <v>0</v>
      </c>
      <c r="G38" s="32">
        <v>0</v>
      </c>
      <c r="H38" s="32">
        <v>0</v>
      </c>
      <c r="I38" s="32">
        <v>3.93</v>
      </c>
      <c r="J38" s="32">
        <v>0</v>
      </c>
      <c r="K38" s="32">
        <v>0</v>
      </c>
      <c r="L38" s="32">
        <v>0</v>
      </c>
      <c r="M38" s="32">
        <v>0</v>
      </c>
      <c r="N38" s="15"/>
      <c r="O38" s="15"/>
      <c r="P38" s="15"/>
      <c r="Q38" s="7">
        <f t="shared" si="1"/>
        <v>3.93</v>
      </c>
      <c r="R38" s="6"/>
      <c r="S38" s="6"/>
    </row>
    <row r="39" spans="1:19" s="3" customFormat="1" ht="13.5" customHeight="1">
      <c r="A39" s="6"/>
      <c r="B39" s="6"/>
      <c r="C39" s="6"/>
      <c r="D39" s="7"/>
      <c r="E39" s="15"/>
      <c r="F39" s="32"/>
      <c r="G39" s="32"/>
      <c r="H39" s="32"/>
      <c r="I39" s="15"/>
      <c r="J39" s="32"/>
      <c r="K39" s="32"/>
      <c r="L39" s="32"/>
      <c r="M39" s="32"/>
      <c r="N39" s="15"/>
      <c r="O39" s="15"/>
      <c r="P39" s="15"/>
      <c r="Q39" s="7"/>
      <c r="R39" s="6"/>
      <c r="S39" s="6"/>
    </row>
    <row r="40" spans="1:19" s="3" customFormat="1" ht="13.5" customHeight="1">
      <c r="A40" s="6" t="s">
        <v>94</v>
      </c>
      <c r="B40" s="6" t="s">
        <v>95</v>
      </c>
      <c r="C40" s="6"/>
      <c r="D40" s="7">
        <v>9</v>
      </c>
      <c r="E40" s="15"/>
      <c r="F40" s="32">
        <v>0</v>
      </c>
      <c r="G40" s="32">
        <v>0</v>
      </c>
      <c r="H40" s="32"/>
      <c r="I40" s="15"/>
      <c r="J40" s="32">
        <v>9</v>
      </c>
      <c r="K40" s="32"/>
      <c r="L40" s="32"/>
      <c r="M40" s="32"/>
      <c r="N40" s="15"/>
      <c r="O40" s="15"/>
      <c r="P40" s="15"/>
      <c r="Q40" s="7">
        <f t="shared" si="1"/>
        <v>9</v>
      </c>
      <c r="R40" s="6"/>
      <c r="S40" s="6"/>
    </row>
    <row r="41" spans="1:19" ht="12.75">
      <c r="A41" s="6"/>
      <c r="B41" s="6"/>
      <c r="C41" s="6"/>
      <c r="D41" s="7"/>
      <c r="E41" s="15"/>
      <c r="F41" s="32"/>
      <c r="G41" s="32"/>
      <c r="H41" s="32">
        <v>0</v>
      </c>
      <c r="I41" s="31"/>
      <c r="J41" s="32"/>
      <c r="K41" s="32">
        <v>0</v>
      </c>
      <c r="L41" s="32">
        <v>0</v>
      </c>
      <c r="M41" s="32">
        <v>0</v>
      </c>
      <c r="N41" s="15">
        <v>0</v>
      </c>
      <c r="O41" s="15">
        <v>0</v>
      </c>
      <c r="P41" s="15">
        <v>0</v>
      </c>
      <c r="Q41" s="7"/>
      <c r="R41" s="6"/>
      <c r="S41" s="6"/>
    </row>
    <row r="42" spans="1:19" s="3" customFormat="1" ht="12.75">
      <c r="A42" s="6" t="s">
        <v>76</v>
      </c>
      <c r="B42" s="6" t="s">
        <v>96</v>
      </c>
      <c r="C42" s="6"/>
      <c r="D42" s="7">
        <v>5.75</v>
      </c>
      <c r="E42" s="15"/>
      <c r="F42" s="32">
        <v>0</v>
      </c>
      <c r="G42" s="32">
        <v>0</v>
      </c>
      <c r="H42" s="32"/>
      <c r="I42" s="15"/>
      <c r="J42" s="32"/>
      <c r="K42" s="32">
        <v>5.75</v>
      </c>
      <c r="L42" s="32"/>
      <c r="M42" s="32"/>
      <c r="N42" s="15"/>
      <c r="O42" s="15"/>
      <c r="P42" s="15"/>
      <c r="Q42" s="7">
        <f t="shared" si="1"/>
        <v>5.75</v>
      </c>
      <c r="R42" s="6"/>
      <c r="S42" s="6"/>
    </row>
    <row r="43" spans="1:19" ht="12.75">
      <c r="A43" s="6"/>
      <c r="B43" s="6"/>
      <c r="C43" s="6"/>
      <c r="D43" s="7"/>
      <c r="E43" s="15"/>
      <c r="F43" s="32"/>
      <c r="G43" s="32"/>
      <c r="H43" s="45"/>
      <c r="I43" s="15"/>
      <c r="J43" s="32"/>
      <c r="K43" s="32"/>
      <c r="L43" s="32"/>
      <c r="M43" s="32"/>
      <c r="N43" s="15">
        <v>0</v>
      </c>
      <c r="O43" s="15">
        <v>0</v>
      </c>
      <c r="P43" s="15">
        <v>0</v>
      </c>
      <c r="Q43" s="7"/>
      <c r="R43" s="6"/>
      <c r="S43" s="6"/>
    </row>
    <row r="44" spans="1:19" s="3" customFormat="1" ht="12.75">
      <c r="A44" s="6" t="s">
        <v>76</v>
      </c>
      <c r="B44" s="6" t="s">
        <v>97</v>
      </c>
      <c r="C44" s="6"/>
      <c r="D44" s="7">
        <v>1.7</v>
      </c>
      <c r="E44" s="15"/>
      <c r="F44" s="32">
        <v>0</v>
      </c>
      <c r="G44" s="32">
        <v>0</v>
      </c>
      <c r="H44" s="32">
        <v>0</v>
      </c>
      <c r="I44" s="15">
        <v>0</v>
      </c>
      <c r="J44" s="32">
        <v>1.7</v>
      </c>
      <c r="K44" s="32">
        <v>0</v>
      </c>
      <c r="L44" s="32">
        <v>0</v>
      </c>
      <c r="M44" s="32">
        <v>0</v>
      </c>
      <c r="N44" s="15"/>
      <c r="O44" s="15"/>
      <c r="P44" s="15"/>
      <c r="Q44" s="7">
        <f t="shared" si="1"/>
        <v>1.7</v>
      </c>
      <c r="R44" s="6"/>
      <c r="S44" s="6"/>
    </row>
    <row r="45" spans="1:19" ht="12.75">
      <c r="A45" s="6"/>
      <c r="B45" s="6"/>
      <c r="C45" s="6"/>
      <c r="D45" s="7"/>
      <c r="E45" s="15"/>
      <c r="F45" s="32"/>
      <c r="G45" s="32"/>
      <c r="H45" s="32"/>
      <c r="I45" s="32"/>
      <c r="J45" s="31"/>
      <c r="K45" s="32"/>
      <c r="L45" s="32"/>
      <c r="M45" s="32"/>
      <c r="N45" s="15"/>
      <c r="O45" s="15"/>
      <c r="P45" s="15"/>
      <c r="Q45" s="7"/>
      <c r="R45" s="6"/>
      <c r="S45" s="6"/>
    </row>
    <row r="46" spans="1:19" s="3" customFormat="1" ht="12.75">
      <c r="A46" s="6" t="s">
        <v>94</v>
      </c>
      <c r="B46" s="6" t="s">
        <v>98</v>
      </c>
      <c r="C46" s="6"/>
      <c r="D46" s="7">
        <v>4</v>
      </c>
      <c r="E46" s="15"/>
      <c r="F46" s="32">
        <v>0</v>
      </c>
      <c r="G46" s="32">
        <v>0</v>
      </c>
      <c r="H46" s="32">
        <v>0</v>
      </c>
      <c r="I46" s="15">
        <v>0</v>
      </c>
      <c r="J46" s="15">
        <v>4</v>
      </c>
      <c r="K46" s="15">
        <v>0</v>
      </c>
      <c r="L46" s="32">
        <v>0</v>
      </c>
      <c r="M46" s="32">
        <v>0</v>
      </c>
      <c r="N46" s="15"/>
      <c r="O46" s="15"/>
      <c r="P46" s="15"/>
      <c r="Q46" s="7">
        <f t="shared" si="1"/>
        <v>4</v>
      </c>
      <c r="R46" s="6"/>
      <c r="S46" s="6"/>
    </row>
    <row r="47" spans="1:19" ht="12.75">
      <c r="A47" s="6"/>
      <c r="B47" s="6"/>
      <c r="C47" s="6"/>
      <c r="D47" s="7"/>
      <c r="E47" s="15"/>
      <c r="F47" s="32"/>
      <c r="G47" s="32"/>
      <c r="H47" s="32"/>
      <c r="I47" s="32"/>
      <c r="J47" s="32"/>
      <c r="K47" s="31"/>
      <c r="L47" s="32"/>
      <c r="M47" s="32"/>
      <c r="N47" s="15">
        <v>0</v>
      </c>
      <c r="O47" s="15">
        <v>0</v>
      </c>
      <c r="P47" s="15">
        <v>0</v>
      </c>
      <c r="Q47" s="7"/>
      <c r="R47" s="6"/>
      <c r="S47" s="6"/>
    </row>
    <row r="48" spans="1:19" ht="12.75">
      <c r="A48" s="6"/>
      <c r="B48" s="6"/>
      <c r="C48" s="6"/>
      <c r="D48" s="47"/>
      <c r="E48" s="15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6"/>
      <c r="S48" s="6"/>
    </row>
    <row r="49" spans="1:19" s="3" customFormat="1" ht="12.75">
      <c r="A49" s="6"/>
      <c r="B49" s="6"/>
      <c r="C49" s="6" t="s">
        <v>5</v>
      </c>
      <c r="D49" s="7">
        <f>SUM(D10:D47)</f>
        <v>104.05000000000003</v>
      </c>
      <c r="E49" s="15"/>
      <c r="F49" s="54">
        <f>SUM(F10:F48)</f>
        <v>30</v>
      </c>
      <c r="G49" s="54">
        <f aca="true" t="shared" si="2" ref="G49:P49">SUM(G12:G48)</f>
        <v>4.52</v>
      </c>
      <c r="H49" s="54">
        <f t="shared" si="2"/>
        <v>13.980000000000002</v>
      </c>
      <c r="I49" s="54">
        <f t="shared" si="2"/>
        <v>34.01</v>
      </c>
      <c r="J49" s="54">
        <f t="shared" si="2"/>
        <v>15.79</v>
      </c>
      <c r="K49" s="54">
        <f t="shared" si="2"/>
        <v>5.75</v>
      </c>
      <c r="L49" s="54">
        <f t="shared" si="2"/>
        <v>0</v>
      </c>
      <c r="M49" s="54">
        <f t="shared" si="2"/>
        <v>0</v>
      </c>
      <c r="N49" s="40">
        <f t="shared" si="2"/>
        <v>0</v>
      </c>
      <c r="O49" s="40">
        <f t="shared" si="2"/>
        <v>0</v>
      </c>
      <c r="P49" s="40">
        <f t="shared" si="2"/>
        <v>0</v>
      </c>
      <c r="Q49" s="54">
        <f>E49+F49+G49+H49+I49+J49+K49+L49+M49+N49+O49+P49</f>
        <v>104.04999999999998</v>
      </c>
      <c r="R49" s="6"/>
      <c r="S49" s="6"/>
    </row>
    <row r="50" spans="1:19" s="3" customFormat="1" ht="12.75">
      <c r="A50" s="6" t="s">
        <v>62</v>
      </c>
      <c r="B50" s="6"/>
      <c r="C50" s="6"/>
      <c r="D50" s="15"/>
      <c r="E50" s="15"/>
      <c r="F50" s="7">
        <f aca="true" t="shared" si="3" ref="F50:P50">F49+E50</f>
        <v>30</v>
      </c>
      <c r="G50" s="7">
        <f t="shared" si="3"/>
        <v>34.519999999999996</v>
      </c>
      <c r="H50" s="7">
        <f t="shared" si="3"/>
        <v>48.5</v>
      </c>
      <c r="I50" s="7">
        <f t="shared" si="3"/>
        <v>82.50999999999999</v>
      </c>
      <c r="J50" s="7">
        <f t="shared" si="3"/>
        <v>98.29999999999998</v>
      </c>
      <c r="K50" s="7">
        <f t="shared" si="3"/>
        <v>104.04999999999998</v>
      </c>
      <c r="L50" s="7">
        <f t="shared" si="3"/>
        <v>104.04999999999998</v>
      </c>
      <c r="M50" s="7">
        <f t="shared" si="3"/>
        <v>104.04999999999998</v>
      </c>
      <c r="N50" s="15">
        <f t="shared" si="3"/>
        <v>104.04999999999998</v>
      </c>
      <c r="O50" s="15">
        <f t="shared" si="3"/>
        <v>104.04999999999998</v>
      </c>
      <c r="P50" s="15">
        <f t="shared" si="3"/>
        <v>104.04999999999998</v>
      </c>
      <c r="Q50" s="15"/>
      <c r="R50" s="6"/>
      <c r="S50" s="6"/>
    </row>
    <row r="51" spans="1:19" s="3" customFormat="1" ht="12.75">
      <c r="A51" s="6" t="s">
        <v>63</v>
      </c>
      <c r="B51" s="6"/>
      <c r="C51" s="6"/>
      <c r="D51" s="15"/>
      <c r="E51" s="15"/>
      <c r="F51" s="7">
        <f>+$D$49-F50</f>
        <v>74.05000000000003</v>
      </c>
      <c r="G51" s="7">
        <f aca="true" t="shared" si="4" ref="G51:P51">+$D$49-G50</f>
        <v>69.53000000000003</v>
      </c>
      <c r="H51" s="7">
        <f t="shared" si="4"/>
        <v>55.550000000000026</v>
      </c>
      <c r="I51" s="7">
        <f t="shared" si="4"/>
        <v>21.540000000000035</v>
      </c>
      <c r="J51" s="7">
        <f t="shared" si="4"/>
        <v>5.750000000000043</v>
      </c>
      <c r="K51" s="7">
        <f t="shared" si="4"/>
        <v>0</v>
      </c>
      <c r="L51" s="7">
        <f t="shared" si="4"/>
        <v>0</v>
      </c>
      <c r="M51" s="7">
        <f t="shared" si="4"/>
        <v>0</v>
      </c>
      <c r="N51" s="15">
        <f t="shared" si="4"/>
        <v>0</v>
      </c>
      <c r="O51" s="15">
        <f t="shared" si="4"/>
        <v>0</v>
      </c>
      <c r="P51" s="15">
        <f t="shared" si="4"/>
        <v>0</v>
      </c>
      <c r="Q51" s="15"/>
      <c r="R51" s="6"/>
      <c r="S51" s="6"/>
    </row>
    <row r="52" spans="1:19" s="3" customFormat="1" ht="12.75">
      <c r="A52" s="6"/>
      <c r="B52" s="6"/>
      <c r="C52" s="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6"/>
      <c r="S52" s="6"/>
    </row>
    <row r="53" spans="1:19" ht="12.75">
      <c r="A53" s="9" t="s">
        <v>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5"/>
      <c r="R53" s="6"/>
      <c r="S53" s="6"/>
    </row>
    <row r="54" spans="1:19" s="3" customFormat="1" ht="12.75">
      <c r="A54" s="6" t="s">
        <v>0</v>
      </c>
      <c r="B54" s="6"/>
      <c r="C54" s="6"/>
      <c r="D54" s="6"/>
      <c r="E54" s="10"/>
      <c r="F54" s="10">
        <v>0.02</v>
      </c>
      <c r="G54" s="10">
        <v>0.02</v>
      </c>
      <c r="H54" s="10">
        <v>0.02</v>
      </c>
      <c r="I54" s="10">
        <v>0.02</v>
      </c>
      <c r="J54" s="10">
        <v>0.02</v>
      </c>
      <c r="K54" s="10">
        <v>0.02</v>
      </c>
      <c r="L54" s="10">
        <v>0.02</v>
      </c>
      <c r="M54" s="10">
        <v>0.02</v>
      </c>
      <c r="N54" s="10">
        <v>0.03</v>
      </c>
      <c r="O54" s="10">
        <v>0.03</v>
      </c>
      <c r="P54" s="10">
        <v>0.03</v>
      </c>
      <c r="Q54" s="15"/>
      <c r="R54" s="6"/>
      <c r="S54" s="6"/>
    </row>
    <row r="55" spans="1:19" ht="12.75">
      <c r="A55" s="6" t="s">
        <v>1</v>
      </c>
      <c r="B55" s="6"/>
      <c r="C55" s="6"/>
      <c r="D55" s="6"/>
      <c r="E55" s="10"/>
      <c r="F55" s="10">
        <f>D6</f>
        <v>0.06</v>
      </c>
      <c r="G55" s="10">
        <f aca="true" t="shared" si="5" ref="G55:P55">F55</f>
        <v>0.06</v>
      </c>
      <c r="H55" s="10">
        <f t="shared" si="5"/>
        <v>0.06</v>
      </c>
      <c r="I55" s="10">
        <f t="shared" si="5"/>
        <v>0.06</v>
      </c>
      <c r="J55" s="10">
        <f t="shared" si="5"/>
        <v>0.06</v>
      </c>
      <c r="K55" s="10">
        <f t="shared" si="5"/>
        <v>0.06</v>
      </c>
      <c r="L55" s="10">
        <f t="shared" si="5"/>
        <v>0.06</v>
      </c>
      <c r="M55" s="10">
        <f t="shared" si="5"/>
        <v>0.06</v>
      </c>
      <c r="N55" s="10">
        <f t="shared" si="5"/>
        <v>0.06</v>
      </c>
      <c r="O55" s="10">
        <f t="shared" si="5"/>
        <v>0.06</v>
      </c>
      <c r="P55" s="10">
        <f t="shared" si="5"/>
        <v>0.06</v>
      </c>
      <c r="Q55" s="15"/>
      <c r="R55" s="6"/>
      <c r="S55" s="6"/>
    </row>
    <row r="56" spans="1:19" s="3" customFormat="1" ht="12.75">
      <c r="A56" s="6" t="s">
        <v>7</v>
      </c>
      <c r="B56" s="6" t="s">
        <v>30</v>
      </c>
      <c r="C56" s="6" t="s">
        <v>50</v>
      </c>
      <c r="D56" s="6"/>
      <c r="E56" s="7"/>
      <c r="F56" s="15">
        <f>9000000/30</f>
        <v>300000</v>
      </c>
      <c r="G56" s="15">
        <f>F56*(1+G54)</f>
        <v>306000</v>
      </c>
      <c r="H56" s="15">
        <f>G56*(1+H54)</f>
        <v>312120</v>
      </c>
      <c r="I56" s="15">
        <f>H56*(1+I54)</f>
        <v>318362.4</v>
      </c>
      <c r="J56" s="15">
        <f>I56*(1+J54)</f>
        <v>324729.64800000004</v>
      </c>
      <c r="K56" s="15">
        <f aca="true" t="shared" si="6" ref="K56:P56">J56*(1+K54)</f>
        <v>331224.24096</v>
      </c>
      <c r="L56" s="15">
        <f t="shared" si="6"/>
        <v>337848.72577920003</v>
      </c>
      <c r="M56" s="15">
        <f t="shared" si="6"/>
        <v>344605.70029478404</v>
      </c>
      <c r="N56" s="15">
        <f t="shared" si="6"/>
        <v>354943.87130362756</v>
      </c>
      <c r="O56" s="15">
        <f t="shared" si="6"/>
        <v>365592.1874427364</v>
      </c>
      <c r="P56" s="15">
        <f t="shared" si="6"/>
        <v>376559.9530660185</v>
      </c>
      <c r="Q56" s="15"/>
      <c r="R56" s="6"/>
      <c r="S56" s="6"/>
    </row>
    <row r="57" spans="1:19" ht="12.75">
      <c r="A57" s="6" t="s">
        <v>7</v>
      </c>
      <c r="B57" s="14" t="s">
        <v>72</v>
      </c>
      <c r="C57" s="6" t="s">
        <v>50</v>
      </c>
      <c r="D57" s="6"/>
      <c r="E57" s="7"/>
      <c r="F57" s="15">
        <v>900000</v>
      </c>
      <c r="G57" s="15">
        <f>F57*(1+G54)</f>
        <v>918000</v>
      </c>
      <c r="H57" s="15">
        <f>G57*(1+H54)</f>
        <v>936360</v>
      </c>
      <c r="I57" s="15">
        <f>H57*(1+I54)</f>
        <v>955087.2000000001</v>
      </c>
      <c r="J57" s="15">
        <f>I57*(1+J54)</f>
        <v>974188.9440000001</v>
      </c>
      <c r="K57" s="15">
        <f aca="true" t="shared" si="7" ref="K57:P57">J57*(1+K54)</f>
        <v>993672.7228800001</v>
      </c>
      <c r="L57" s="15">
        <f t="shared" si="7"/>
        <v>1013546.1773376002</v>
      </c>
      <c r="M57" s="15">
        <f t="shared" si="7"/>
        <v>1033817.1008843522</v>
      </c>
      <c r="N57" s="15">
        <f t="shared" si="7"/>
        <v>1064831.6139108827</v>
      </c>
      <c r="O57" s="15">
        <f t="shared" si="7"/>
        <v>1096776.5623282092</v>
      </c>
      <c r="P57" s="15">
        <f t="shared" si="7"/>
        <v>1129679.8591980555</v>
      </c>
      <c r="Q57" s="15"/>
      <c r="R57" s="6"/>
      <c r="S57" s="6"/>
    </row>
    <row r="58" spans="1:19" ht="12.75">
      <c r="A58" s="6" t="s">
        <v>7</v>
      </c>
      <c r="B58" s="14" t="s">
        <v>73</v>
      </c>
      <c r="C58" s="6" t="s">
        <v>50</v>
      </c>
      <c r="D58" s="6"/>
      <c r="E58" s="7"/>
      <c r="F58" s="15">
        <v>900000</v>
      </c>
      <c r="G58" s="15">
        <f>F58*(1+G54)</f>
        <v>918000</v>
      </c>
      <c r="H58" s="15">
        <f aca="true" t="shared" si="8" ref="H58:M58">G58*(1+H54)</f>
        <v>936360</v>
      </c>
      <c r="I58" s="15">
        <f t="shared" si="8"/>
        <v>955087.2000000001</v>
      </c>
      <c r="J58" s="15">
        <f t="shared" si="8"/>
        <v>974188.9440000001</v>
      </c>
      <c r="K58" s="15">
        <f t="shared" si="8"/>
        <v>993672.7228800001</v>
      </c>
      <c r="L58" s="15">
        <f t="shared" si="8"/>
        <v>1013546.1773376002</v>
      </c>
      <c r="M58" s="15">
        <f t="shared" si="8"/>
        <v>1033817.1008843522</v>
      </c>
      <c r="N58" s="15"/>
      <c r="O58" s="15"/>
      <c r="P58" s="15"/>
      <c r="Q58" s="15"/>
      <c r="R58" s="6"/>
      <c r="S58" s="6"/>
    </row>
    <row r="59" spans="1:19" ht="12.75">
      <c r="A59" s="6" t="s">
        <v>7</v>
      </c>
      <c r="B59" s="30" t="s">
        <v>74</v>
      </c>
      <c r="C59" s="6" t="s">
        <v>50</v>
      </c>
      <c r="D59" s="6"/>
      <c r="E59" s="7"/>
      <c r="F59" s="15">
        <v>900000</v>
      </c>
      <c r="G59" s="15">
        <f aca="true" t="shared" si="9" ref="G59:L61">F59*(1+$M$54)</f>
        <v>918000</v>
      </c>
      <c r="H59" s="15">
        <f t="shared" si="9"/>
        <v>936360</v>
      </c>
      <c r="I59" s="15">
        <f t="shared" si="9"/>
        <v>955087.2000000001</v>
      </c>
      <c r="J59" s="15">
        <f t="shared" si="9"/>
        <v>974188.9440000001</v>
      </c>
      <c r="K59" s="15">
        <f t="shared" si="9"/>
        <v>993672.7228800001</v>
      </c>
      <c r="L59" s="15">
        <f t="shared" si="9"/>
        <v>1013546.1773376002</v>
      </c>
      <c r="M59" s="15">
        <f>L59*(1+$M$54)</f>
        <v>1033817.1008843522</v>
      </c>
      <c r="N59" s="15"/>
      <c r="O59" s="15"/>
      <c r="P59" s="15"/>
      <c r="Q59" s="15"/>
      <c r="R59" s="6"/>
      <c r="S59" s="6"/>
    </row>
    <row r="60" spans="1:19" ht="12.75">
      <c r="A60" s="6" t="s">
        <v>7</v>
      </c>
      <c r="B60" s="14" t="s">
        <v>75</v>
      </c>
      <c r="C60" s="6" t="s">
        <v>50</v>
      </c>
      <c r="D60" s="6"/>
      <c r="E60" s="7"/>
      <c r="F60" s="15">
        <v>650000</v>
      </c>
      <c r="G60" s="15">
        <f t="shared" si="9"/>
        <v>663000</v>
      </c>
      <c r="H60" s="15">
        <f t="shared" si="9"/>
        <v>676260</v>
      </c>
      <c r="I60" s="15">
        <f t="shared" si="9"/>
        <v>689785.2000000001</v>
      </c>
      <c r="J60" s="15">
        <f t="shared" si="9"/>
        <v>703580.9040000001</v>
      </c>
      <c r="K60" s="15">
        <f t="shared" si="9"/>
        <v>717652.5220800001</v>
      </c>
      <c r="L60" s="15">
        <f t="shared" si="9"/>
        <v>732005.5725216002</v>
      </c>
      <c r="M60" s="15">
        <f>L60*(1+$M$54)</f>
        <v>746645.6839720322</v>
      </c>
      <c r="N60" s="15"/>
      <c r="O60" s="15"/>
      <c r="P60" s="15"/>
      <c r="Q60" s="15"/>
      <c r="R60" s="6"/>
      <c r="S60" s="6"/>
    </row>
    <row r="61" spans="1:19" ht="12.75">
      <c r="A61" s="6" t="s">
        <v>7</v>
      </c>
      <c r="B61" s="14" t="s">
        <v>77</v>
      </c>
      <c r="C61" s="6" t="s">
        <v>50</v>
      </c>
      <c r="D61" s="6"/>
      <c r="E61" s="7"/>
      <c r="F61" s="15">
        <v>650000</v>
      </c>
      <c r="G61" s="15">
        <f t="shared" si="9"/>
        <v>663000</v>
      </c>
      <c r="H61" s="15">
        <f t="shared" si="9"/>
        <v>676260</v>
      </c>
      <c r="I61" s="15">
        <f t="shared" si="9"/>
        <v>689785.2000000001</v>
      </c>
      <c r="J61" s="15">
        <f t="shared" si="9"/>
        <v>703580.9040000001</v>
      </c>
      <c r="K61" s="15">
        <f t="shared" si="9"/>
        <v>717652.5220800001</v>
      </c>
      <c r="L61" s="15">
        <f t="shared" si="9"/>
        <v>732005.5725216002</v>
      </c>
      <c r="M61" s="15">
        <f>L61*(1+$M$54)</f>
        <v>746645.6839720322</v>
      </c>
      <c r="N61" s="15"/>
      <c r="O61" s="15"/>
      <c r="P61" s="15"/>
      <c r="Q61" s="15"/>
      <c r="R61" s="6"/>
      <c r="S61" s="6"/>
    </row>
    <row r="62" spans="1:19" s="3" customFormat="1" ht="12.75">
      <c r="A62" s="6" t="s">
        <v>7</v>
      </c>
      <c r="B62" s="14" t="s">
        <v>78</v>
      </c>
      <c r="C62" s="6" t="s">
        <v>50</v>
      </c>
      <c r="D62" s="6"/>
      <c r="E62" s="7"/>
      <c r="F62" s="15">
        <v>650000</v>
      </c>
      <c r="G62" s="15">
        <f>F62*(1+G54)</f>
        <v>663000</v>
      </c>
      <c r="H62" s="15">
        <f>G62*(1+H54)</f>
        <v>676260</v>
      </c>
      <c r="I62" s="15">
        <f>H62*(1+I54)</f>
        <v>689785.2000000001</v>
      </c>
      <c r="J62" s="15">
        <f>I62*(1+J54)</f>
        <v>703580.9040000001</v>
      </c>
      <c r="K62" s="15">
        <f aca="true" t="shared" si="10" ref="K62:P62">J62*(1+K54)</f>
        <v>717652.5220800001</v>
      </c>
      <c r="L62" s="15">
        <f t="shared" si="10"/>
        <v>732005.5725216002</v>
      </c>
      <c r="M62" s="15">
        <f t="shared" si="10"/>
        <v>746645.6839720322</v>
      </c>
      <c r="N62" s="15">
        <f t="shared" si="10"/>
        <v>769045.0544911932</v>
      </c>
      <c r="O62" s="15">
        <f t="shared" si="10"/>
        <v>792116.406125929</v>
      </c>
      <c r="P62" s="15">
        <f t="shared" si="10"/>
        <v>815879.8983097068</v>
      </c>
      <c r="Q62" s="15"/>
      <c r="R62" s="6"/>
      <c r="S62" s="6"/>
    </row>
    <row r="63" spans="1:19" s="3" customFormat="1" ht="12.75">
      <c r="A63" s="6"/>
      <c r="B63" s="14"/>
      <c r="C63" s="6"/>
      <c r="D63" s="6"/>
      <c r="E63" s="7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"/>
      <c r="S63" s="6"/>
    </row>
    <row r="64" spans="1:19" ht="12.75">
      <c r="A64" s="6" t="s">
        <v>7</v>
      </c>
      <c r="B64" s="6" t="s">
        <v>70</v>
      </c>
      <c r="C64" s="6" t="s">
        <v>50</v>
      </c>
      <c r="D64" s="6"/>
      <c r="E64" s="7"/>
      <c r="F64" s="15">
        <f>3000000/4</f>
        <v>750000</v>
      </c>
      <c r="G64" s="15">
        <f>F64*(1+G54)</f>
        <v>765000</v>
      </c>
      <c r="H64" s="15">
        <f>G64*(1+H54)</f>
        <v>780300</v>
      </c>
      <c r="I64" s="15">
        <f>H64*(1+I54)</f>
        <v>795906</v>
      </c>
      <c r="J64" s="15">
        <f>I64*(1+J54)</f>
        <v>811824.12</v>
      </c>
      <c r="K64" s="15">
        <f aca="true" t="shared" si="11" ref="K64:P64">J64*(1+K54)</f>
        <v>828060.6024</v>
      </c>
      <c r="L64" s="15">
        <f t="shared" si="11"/>
        <v>844621.8144479999</v>
      </c>
      <c r="M64" s="15">
        <f t="shared" si="11"/>
        <v>861514.25073696</v>
      </c>
      <c r="N64" s="15">
        <f t="shared" si="11"/>
        <v>887359.6782590688</v>
      </c>
      <c r="O64" s="15">
        <f t="shared" si="11"/>
        <v>913980.4686068408</v>
      </c>
      <c r="P64" s="15">
        <f t="shared" si="11"/>
        <v>941399.882665046</v>
      </c>
      <c r="Q64" s="15"/>
      <c r="R64" s="6"/>
      <c r="S64" s="6"/>
    </row>
    <row r="65" spans="1:19" s="3" customFormat="1" ht="12.75">
      <c r="A65" s="6" t="s">
        <v>7</v>
      </c>
      <c r="B65" s="6" t="s">
        <v>71</v>
      </c>
      <c r="C65" s="6" t="s">
        <v>50</v>
      </c>
      <c r="D65" s="6"/>
      <c r="E65" s="7"/>
      <c r="F65" s="15">
        <v>600000</v>
      </c>
      <c r="G65" s="15">
        <f aca="true" t="shared" si="12" ref="G65:P65">F65*(1+G54)</f>
        <v>612000</v>
      </c>
      <c r="H65" s="15">
        <f t="shared" si="12"/>
        <v>624240</v>
      </c>
      <c r="I65" s="15">
        <f t="shared" si="12"/>
        <v>636724.8</v>
      </c>
      <c r="J65" s="15">
        <f t="shared" si="12"/>
        <v>649459.2960000001</v>
      </c>
      <c r="K65" s="15">
        <f t="shared" si="12"/>
        <v>662448.48192</v>
      </c>
      <c r="L65" s="15">
        <f t="shared" si="12"/>
        <v>675697.4515584001</v>
      </c>
      <c r="M65" s="15">
        <f t="shared" si="12"/>
        <v>689211.4005895681</v>
      </c>
      <c r="N65" s="15">
        <f t="shared" si="12"/>
        <v>709887.7426072551</v>
      </c>
      <c r="O65" s="15">
        <f t="shared" si="12"/>
        <v>731184.3748854728</v>
      </c>
      <c r="P65" s="15">
        <f t="shared" si="12"/>
        <v>753119.906132037</v>
      </c>
      <c r="Q65" s="15"/>
      <c r="R65" s="6"/>
      <c r="S65" s="6"/>
    </row>
    <row r="66" spans="1:19" s="3" customFormat="1" ht="12.75">
      <c r="A66" s="6" t="s">
        <v>7</v>
      </c>
      <c r="B66" s="6" t="s">
        <v>79</v>
      </c>
      <c r="C66" s="6" t="s">
        <v>50</v>
      </c>
      <c r="D66" s="6"/>
      <c r="E66" s="7"/>
      <c r="F66" s="15">
        <v>700000</v>
      </c>
      <c r="G66" s="15">
        <f>F66*(1+G54)</f>
        <v>714000</v>
      </c>
      <c r="H66" s="15">
        <f aca="true" t="shared" si="13" ref="H66:M66">G66*(1+H54)</f>
        <v>728280</v>
      </c>
      <c r="I66" s="15">
        <f t="shared" si="13"/>
        <v>742845.6</v>
      </c>
      <c r="J66" s="15">
        <f t="shared" si="13"/>
        <v>757702.512</v>
      </c>
      <c r="K66" s="15">
        <f t="shared" si="13"/>
        <v>772856.56224</v>
      </c>
      <c r="L66" s="15">
        <f t="shared" si="13"/>
        <v>788313.6934848</v>
      </c>
      <c r="M66" s="15">
        <f t="shared" si="13"/>
        <v>804079.9673544961</v>
      </c>
      <c r="N66" s="15">
        <f>M66*(1+N55)</f>
        <v>852324.7653957659</v>
      </c>
      <c r="O66" s="15">
        <f>N66*(1+O55)</f>
        <v>903464.2513195119</v>
      </c>
      <c r="P66" s="15">
        <f>O66*(1+$P$54)</f>
        <v>930568.1788590973</v>
      </c>
      <c r="Q66" s="15"/>
      <c r="R66" s="6"/>
      <c r="S66" s="6"/>
    </row>
    <row r="67" spans="1:19" s="3" customFormat="1" ht="12.75">
      <c r="A67" s="6" t="s">
        <v>7</v>
      </c>
      <c r="B67" s="6" t="s">
        <v>80</v>
      </c>
      <c r="C67" s="6" t="s">
        <v>50</v>
      </c>
      <c r="D67" s="6"/>
      <c r="E67" s="7"/>
      <c r="F67" s="15">
        <v>450000</v>
      </c>
      <c r="G67" s="15">
        <f aca="true" t="shared" si="14" ref="G67:O67">F67*(1+$P$54)</f>
        <v>463500</v>
      </c>
      <c r="H67" s="15">
        <f t="shared" si="14"/>
        <v>477405</v>
      </c>
      <c r="I67" s="15">
        <f t="shared" si="14"/>
        <v>491727.15</v>
      </c>
      <c r="J67" s="15">
        <f t="shared" si="14"/>
        <v>506478.96450000006</v>
      </c>
      <c r="K67" s="15">
        <f t="shared" si="14"/>
        <v>521673.3334350001</v>
      </c>
      <c r="L67" s="15">
        <f t="shared" si="14"/>
        <v>537323.5334380501</v>
      </c>
      <c r="M67" s="15">
        <f t="shared" si="14"/>
        <v>553443.2394411915</v>
      </c>
      <c r="N67" s="15">
        <f t="shared" si="14"/>
        <v>570046.5366244273</v>
      </c>
      <c r="O67" s="15">
        <f t="shared" si="14"/>
        <v>587147.9327231601</v>
      </c>
      <c r="P67" s="15">
        <f>O67*(1+$P$54)</f>
        <v>604762.370704855</v>
      </c>
      <c r="Q67" s="15"/>
      <c r="R67" s="6"/>
      <c r="S67" s="6"/>
    </row>
    <row r="68" spans="1:19" s="3" customFormat="1" ht="12.75">
      <c r="A68" s="6" t="s">
        <v>7</v>
      </c>
      <c r="B68" s="6" t="s">
        <v>81</v>
      </c>
      <c r="C68" s="6" t="s">
        <v>50</v>
      </c>
      <c r="D68" s="6"/>
      <c r="E68" s="7"/>
      <c r="F68" s="15">
        <v>500000</v>
      </c>
      <c r="G68" s="15">
        <f aca="true" t="shared" si="15" ref="G68:O68">F68*(1+$P$54)</f>
        <v>515000</v>
      </c>
      <c r="H68" s="15">
        <f t="shared" si="15"/>
        <v>530450</v>
      </c>
      <c r="I68" s="15">
        <f t="shared" si="15"/>
        <v>546363.5</v>
      </c>
      <c r="J68" s="15">
        <f t="shared" si="15"/>
        <v>562754.405</v>
      </c>
      <c r="K68" s="15">
        <f t="shared" si="15"/>
        <v>579637.03715</v>
      </c>
      <c r="L68" s="15">
        <f t="shared" si="15"/>
        <v>597026.1482645</v>
      </c>
      <c r="M68" s="15">
        <f t="shared" si="15"/>
        <v>614936.932712435</v>
      </c>
      <c r="N68" s="15">
        <f t="shared" si="15"/>
        <v>633385.0406938081</v>
      </c>
      <c r="O68" s="15">
        <f t="shared" si="15"/>
        <v>652386.5919146223</v>
      </c>
      <c r="P68" s="15">
        <f>O68*(1+$P$54)</f>
        <v>671958.189672061</v>
      </c>
      <c r="Q68" s="15"/>
      <c r="R68" s="6"/>
      <c r="S68" s="6"/>
    </row>
    <row r="69" spans="1:19" s="3" customFormat="1" ht="12.75">
      <c r="A69" s="6" t="s">
        <v>7</v>
      </c>
      <c r="B69" s="6" t="s">
        <v>82</v>
      </c>
      <c r="C69" s="6" t="s">
        <v>50</v>
      </c>
      <c r="D69" s="6"/>
      <c r="E69" s="7"/>
      <c r="F69" s="15">
        <v>650000</v>
      </c>
      <c r="G69" s="15">
        <f aca="true" t="shared" si="16" ref="G69:O69">F69*(1+$P$54)</f>
        <v>669500</v>
      </c>
      <c r="H69" s="15">
        <f t="shared" si="16"/>
        <v>689585</v>
      </c>
      <c r="I69" s="15">
        <f t="shared" si="16"/>
        <v>710272.55</v>
      </c>
      <c r="J69" s="15">
        <f t="shared" si="16"/>
        <v>731580.7265000001</v>
      </c>
      <c r="K69" s="15">
        <f t="shared" si="16"/>
        <v>753528.1482950001</v>
      </c>
      <c r="L69" s="15">
        <f t="shared" si="16"/>
        <v>776133.9927438501</v>
      </c>
      <c r="M69" s="15">
        <f t="shared" si="16"/>
        <v>799418.0125261656</v>
      </c>
      <c r="N69" s="15">
        <f t="shared" si="16"/>
        <v>823400.5529019505</v>
      </c>
      <c r="O69" s="15">
        <f t="shared" si="16"/>
        <v>848102.5694890091</v>
      </c>
      <c r="P69" s="15">
        <f>O69*(1+$P$54)</f>
        <v>873545.6465736794</v>
      </c>
      <c r="Q69" s="15"/>
      <c r="R69" s="6"/>
      <c r="S69" s="6"/>
    </row>
    <row r="70" spans="1:19" s="3" customFormat="1" ht="12.75">
      <c r="A70" s="6"/>
      <c r="B70" s="6"/>
      <c r="C70" s="6"/>
      <c r="D70" s="6"/>
      <c r="E70" s="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6"/>
      <c r="S70" s="6"/>
    </row>
    <row r="71" spans="1:19" s="3" customFormat="1" ht="12.75">
      <c r="A71" s="6" t="s">
        <v>7</v>
      </c>
      <c r="B71" s="6" t="s">
        <v>83</v>
      </c>
      <c r="C71" s="6" t="s">
        <v>50</v>
      </c>
      <c r="D71" s="6"/>
      <c r="E71" s="7"/>
      <c r="F71" s="15">
        <v>650000</v>
      </c>
      <c r="G71" s="15">
        <f aca="true" t="shared" si="17" ref="G71:M71">F71*(1+$P$54)</f>
        <v>669500</v>
      </c>
      <c r="H71" s="15">
        <f t="shared" si="17"/>
        <v>689585</v>
      </c>
      <c r="I71" s="15">
        <f t="shared" si="17"/>
        <v>710272.55</v>
      </c>
      <c r="J71" s="15">
        <f t="shared" si="17"/>
        <v>731580.7265000001</v>
      </c>
      <c r="K71" s="15">
        <f t="shared" si="17"/>
        <v>753528.1482950001</v>
      </c>
      <c r="L71" s="15">
        <f t="shared" si="17"/>
        <v>776133.9927438501</v>
      </c>
      <c r="M71" s="15">
        <f t="shared" si="17"/>
        <v>799418.0125261656</v>
      </c>
      <c r="N71" s="15"/>
      <c r="O71" s="15"/>
      <c r="P71" s="15"/>
      <c r="Q71" s="15"/>
      <c r="R71" s="6"/>
      <c r="S71" s="6"/>
    </row>
    <row r="72" spans="1:19" s="3" customFormat="1" ht="12.75">
      <c r="A72" s="6" t="s">
        <v>7</v>
      </c>
      <c r="B72" s="6" t="s">
        <v>84</v>
      </c>
      <c r="C72" s="6" t="s">
        <v>50</v>
      </c>
      <c r="D72" s="6"/>
      <c r="E72" s="7"/>
      <c r="F72" s="15">
        <v>600000</v>
      </c>
      <c r="G72" s="15">
        <f aca="true" t="shared" si="18" ref="G72:M72">F72*(1+$P$54)</f>
        <v>618000</v>
      </c>
      <c r="H72" s="15">
        <f t="shared" si="18"/>
        <v>636540</v>
      </c>
      <c r="I72" s="15">
        <f t="shared" si="18"/>
        <v>655636.2000000001</v>
      </c>
      <c r="J72" s="15">
        <f t="shared" si="18"/>
        <v>675305.2860000001</v>
      </c>
      <c r="K72" s="15">
        <f t="shared" si="18"/>
        <v>695564.4445800001</v>
      </c>
      <c r="L72" s="15">
        <f t="shared" si="18"/>
        <v>716431.3779174001</v>
      </c>
      <c r="M72" s="15">
        <f t="shared" si="18"/>
        <v>737924.3192549221</v>
      </c>
      <c r="N72" s="15"/>
      <c r="O72" s="15"/>
      <c r="P72" s="15"/>
      <c r="Q72" s="15"/>
      <c r="R72" s="6"/>
      <c r="S72" s="6"/>
    </row>
    <row r="73" spans="1:19" s="3" customFormat="1" ht="12.75">
      <c r="A73" s="6" t="s">
        <v>7</v>
      </c>
      <c r="B73" s="6" t="s">
        <v>85</v>
      </c>
      <c r="C73" s="6" t="s">
        <v>50</v>
      </c>
      <c r="D73" s="6"/>
      <c r="E73" s="7"/>
      <c r="F73" s="15">
        <v>300000</v>
      </c>
      <c r="G73" s="15">
        <f aca="true" t="shared" si="19" ref="G73:P73">F73*(1+$P$54)</f>
        <v>309000</v>
      </c>
      <c r="H73" s="15">
        <f t="shared" si="19"/>
        <v>318270</v>
      </c>
      <c r="I73" s="15">
        <f t="shared" si="19"/>
        <v>327818.10000000003</v>
      </c>
      <c r="J73" s="15">
        <f t="shared" si="19"/>
        <v>337652.64300000004</v>
      </c>
      <c r="K73" s="15">
        <f t="shared" si="19"/>
        <v>347782.22229000006</v>
      </c>
      <c r="L73" s="15">
        <f t="shared" si="19"/>
        <v>358215.68895870005</v>
      </c>
      <c r="M73" s="15">
        <f t="shared" si="19"/>
        <v>368962.15962746105</v>
      </c>
      <c r="N73" s="15">
        <f t="shared" si="19"/>
        <v>380031.02441628487</v>
      </c>
      <c r="O73" s="15">
        <f t="shared" si="19"/>
        <v>391431.95514877344</v>
      </c>
      <c r="P73" s="15">
        <f t="shared" si="19"/>
        <v>403174.9138032367</v>
      </c>
      <c r="Q73" s="15"/>
      <c r="R73" s="6"/>
      <c r="S73" s="6"/>
    </row>
    <row r="74" spans="1:19" s="3" customFormat="1" ht="12.75">
      <c r="A74" s="6"/>
      <c r="B74" s="6"/>
      <c r="C74" s="6"/>
      <c r="D74" s="6"/>
      <c r="E74" s="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6"/>
      <c r="S74" s="6"/>
    </row>
    <row r="75" spans="1:19" s="3" customFormat="1" ht="12.75">
      <c r="A75" s="6" t="s">
        <v>7</v>
      </c>
      <c r="B75" s="6" t="s">
        <v>86</v>
      </c>
      <c r="C75" s="6" t="s">
        <v>50</v>
      </c>
      <c r="D75" s="6"/>
      <c r="E75" s="7"/>
      <c r="F75" s="15">
        <v>650000</v>
      </c>
      <c r="G75" s="15">
        <f aca="true" t="shared" si="20" ref="G75:P75">F75*(1+$P$54)</f>
        <v>669500</v>
      </c>
      <c r="H75" s="15">
        <f t="shared" si="20"/>
        <v>689585</v>
      </c>
      <c r="I75" s="15">
        <f t="shared" si="20"/>
        <v>710272.55</v>
      </c>
      <c r="J75" s="15">
        <f t="shared" si="20"/>
        <v>731580.7265000001</v>
      </c>
      <c r="K75" s="15">
        <f t="shared" si="20"/>
        <v>753528.1482950001</v>
      </c>
      <c r="L75" s="15">
        <f t="shared" si="20"/>
        <v>776133.9927438501</v>
      </c>
      <c r="M75" s="15">
        <f t="shared" si="20"/>
        <v>799418.0125261656</v>
      </c>
      <c r="N75" s="15">
        <f t="shared" si="20"/>
        <v>823400.5529019505</v>
      </c>
      <c r="O75" s="15">
        <f t="shared" si="20"/>
        <v>848102.5694890091</v>
      </c>
      <c r="P75" s="15">
        <f t="shared" si="20"/>
        <v>873545.6465736794</v>
      </c>
      <c r="Q75" s="15"/>
      <c r="R75" s="6"/>
      <c r="S75" s="6"/>
    </row>
    <row r="76" spans="1:19" s="3" customFormat="1" ht="12.75">
      <c r="A76" s="6" t="s">
        <v>7</v>
      </c>
      <c r="B76" s="6" t="s">
        <v>87</v>
      </c>
      <c r="C76" s="6" t="s">
        <v>50</v>
      </c>
      <c r="D76" s="6"/>
      <c r="E76" s="7"/>
      <c r="F76" s="15">
        <v>600000</v>
      </c>
      <c r="G76" s="15">
        <f aca="true" t="shared" si="21" ref="G76:M76">F76*(1+$P$54)</f>
        <v>618000</v>
      </c>
      <c r="H76" s="15">
        <f t="shared" si="21"/>
        <v>636540</v>
      </c>
      <c r="I76" s="15">
        <f t="shared" si="21"/>
        <v>655636.2000000001</v>
      </c>
      <c r="J76" s="15">
        <f t="shared" si="21"/>
        <v>675305.2860000001</v>
      </c>
      <c r="K76" s="15">
        <f t="shared" si="21"/>
        <v>695564.4445800001</v>
      </c>
      <c r="L76" s="15">
        <f t="shared" si="21"/>
        <v>716431.3779174001</v>
      </c>
      <c r="M76" s="15">
        <f t="shared" si="21"/>
        <v>737924.3192549221</v>
      </c>
      <c r="N76" s="15"/>
      <c r="O76" s="15"/>
      <c r="P76" s="15"/>
      <c r="Q76" s="15"/>
      <c r="R76" s="6"/>
      <c r="S76" s="6"/>
    </row>
    <row r="77" spans="1:19" s="3" customFormat="1" ht="12.75">
      <c r="A77" s="6" t="s">
        <v>7</v>
      </c>
      <c r="B77" s="6" t="s">
        <v>88</v>
      </c>
      <c r="C77" s="6" t="s">
        <v>50</v>
      </c>
      <c r="D77" s="6"/>
      <c r="E77" s="7"/>
      <c r="F77" s="15">
        <v>550000</v>
      </c>
      <c r="G77" s="15">
        <f aca="true" t="shared" si="22" ref="G77:P77">F77*(1+$P$54)</f>
        <v>566500</v>
      </c>
      <c r="H77" s="15">
        <f t="shared" si="22"/>
        <v>583495</v>
      </c>
      <c r="I77" s="15">
        <f t="shared" si="22"/>
        <v>600999.85</v>
      </c>
      <c r="J77" s="15">
        <f t="shared" si="22"/>
        <v>619029.8454999999</v>
      </c>
      <c r="K77" s="15">
        <f t="shared" si="22"/>
        <v>637600.7408649999</v>
      </c>
      <c r="L77" s="15">
        <f t="shared" si="22"/>
        <v>656728.76309095</v>
      </c>
      <c r="M77" s="15">
        <f t="shared" si="22"/>
        <v>676430.6259836785</v>
      </c>
      <c r="N77" s="15">
        <f t="shared" si="22"/>
        <v>696723.5447631889</v>
      </c>
      <c r="O77" s="15">
        <f t="shared" si="22"/>
        <v>717625.2511060846</v>
      </c>
      <c r="P77" s="15">
        <f t="shared" si="22"/>
        <v>739154.0086392671</v>
      </c>
      <c r="Q77" s="15"/>
      <c r="R77" s="6"/>
      <c r="S77" s="6"/>
    </row>
    <row r="78" spans="1:19" s="3" customFormat="1" ht="12.75">
      <c r="A78" s="6" t="s">
        <v>7</v>
      </c>
      <c r="B78" s="6" t="s">
        <v>89</v>
      </c>
      <c r="C78" s="6" t="s">
        <v>50</v>
      </c>
      <c r="D78" s="6"/>
      <c r="E78" s="7"/>
      <c r="F78" s="15">
        <v>600000</v>
      </c>
      <c r="G78" s="15">
        <f aca="true" t="shared" si="23" ref="G78:P78">F78*(1+$P$54)</f>
        <v>618000</v>
      </c>
      <c r="H78" s="15">
        <f t="shared" si="23"/>
        <v>636540</v>
      </c>
      <c r="I78" s="15">
        <f t="shared" si="23"/>
        <v>655636.2000000001</v>
      </c>
      <c r="J78" s="15">
        <f t="shared" si="23"/>
        <v>675305.2860000001</v>
      </c>
      <c r="K78" s="15">
        <f t="shared" si="23"/>
        <v>695564.4445800001</v>
      </c>
      <c r="L78" s="15">
        <f t="shared" si="23"/>
        <v>716431.3779174001</v>
      </c>
      <c r="M78" s="15">
        <f t="shared" si="23"/>
        <v>737924.3192549221</v>
      </c>
      <c r="N78" s="15">
        <f t="shared" si="23"/>
        <v>760062.0488325697</v>
      </c>
      <c r="O78" s="15">
        <f t="shared" si="23"/>
        <v>782863.9102975469</v>
      </c>
      <c r="P78" s="15">
        <f t="shared" si="23"/>
        <v>806349.8276064734</v>
      </c>
      <c r="Q78" s="15"/>
      <c r="R78" s="6"/>
      <c r="S78" s="6"/>
    </row>
    <row r="79" spans="1:19" s="3" customFormat="1" ht="12.75">
      <c r="A79" s="6" t="s">
        <v>7</v>
      </c>
      <c r="B79" s="6" t="s">
        <v>90</v>
      </c>
      <c r="C79" s="6" t="s">
        <v>50</v>
      </c>
      <c r="D79" s="6"/>
      <c r="E79" s="7"/>
      <c r="F79" s="15">
        <v>300000</v>
      </c>
      <c r="G79" s="15">
        <f aca="true" t="shared" si="24" ref="G79:M79">F79*(1+$P$54)</f>
        <v>309000</v>
      </c>
      <c r="H79" s="15">
        <f t="shared" si="24"/>
        <v>318270</v>
      </c>
      <c r="I79" s="15">
        <f t="shared" si="24"/>
        <v>327818.10000000003</v>
      </c>
      <c r="J79" s="15">
        <f t="shared" si="24"/>
        <v>337652.64300000004</v>
      </c>
      <c r="K79" s="15">
        <f t="shared" si="24"/>
        <v>347782.22229000006</v>
      </c>
      <c r="L79" s="15">
        <f t="shared" si="24"/>
        <v>358215.68895870005</v>
      </c>
      <c r="M79" s="15">
        <f t="shared" si="24"/>
        <v>368962.15962746105</v>
      </c>
      <c r="N79" s="15"/>
      <c r="O79" s="15"/>
      <c r="P79" s="15"/>
      <c r="Q79" s="15"/>
      <c r="R79" s="6"/>
      <c r="S79" s="6"/>
    </row>
    <row r="80" spans="1:19" s="3" customFormat="1" ht="12.75">
      <c r="A80" s="6"/>
      <c r="B80" s="6"/>
      <c r="C80" s="6"/>
      <c r="D80" s="6"/>
      <c r="E80" s="7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6"/>
      <c r="S80" s="6"/>
    </row>
    <row r="81" spans="1:19" s="3" customFormat="1" ht="12.75">
      <c r="A81" s="6" t="s">
        <v>7</v>
      </c>
      <c r="B81" s="6" t="s">
        <v>91</v>
      </c>
      <c r="C81" s="6" t="s">
        <v>50</v>
      </c>
      <c r="D81" s="6"/>
      <c r="E81" s="7"/>
      <c r="F81" s="15">
        <v>525000</v>
      </c>
      <c r="G81" s="15">
        <f aca="true" t="shared" si="25" ref="G81:M81">F81*(1+$P$54)</f>
        <v>540750</v>
      </c>
      <c r="H81" s="15">
        <f t="shared" si="25"/>
        <v>556972.5</v>
      </c>
      <c r="I81" s="15">
        <f t="shared" si="25"/>
        <v>573681.675</v>
      </c>
      <c r="J81" s="15">
        <f t="shared" si="25"/>
        <v>590892.12525</v>
      </c>
      <c r="K81" s="15">
        <f t="shared" si="25"/>
        <v>608618.8890075</v>
      </c>
      <c r="L81" s="15">
        <f t="shared" si="25"/>
        <v>626877.455677725</v>
      </c>
      <c r="M81" s="15">
        <f t="shared" si="25"/>
        <v>645683.7793480568</v>
      </c>
      <c r="N81" s="15"/>
      <c r="O81" s="15"/>
      <c r="P81" s="15"/>
      <c r="Q81" s="15"/>
      <c r="R81" s="6"/>
      <c r="S81" s="6"/>
    </row>
    <row r="82" spans="1:19" s="3" customFormat="1" ht="12.75">
      <c r="A82" s="6" t="s">
        <v>7</v>
      </c>
      <c r="B82" s="6" t="s">
        <v>92</v>
      </c>
      <c r="C82" s="6" t="s">
        <v>50</v>
      </c>
      <c r="D82" s="6"/>
      <c r="E82" s="7"/>
      <c r="F82" s="15">
        <v>400000</v>
      </c>
      <c r="G82" s="15">
        <f aca="true" t="shared" si="26" ref="G82:M82">F82*(1+$P$54)</f>
        <v>412000</v>
      </c>
      <c r="H82" s="15">
        <f t="shared" si="26"/>
        <v>424360</v>
      </c>
      <c r="I82" s="15">
        <f t="shared" si="26"/>
        <v>437090.8</v>
      </c>
      <c r="J82" s="15">
        <f t="shared" si="26"/>
        <v>450203.524</v>
      </c>
      <c r="K82" s="15">
        <f t="shared" si="26"/>
        <v>463709.62971999997</v>
      </c>
      <c r="L82" s="15">
        <f t="shared" si="26"/>
        <v>477620.9186116</v>
      </c>
      <c r="M82" s="15">
        <f t="shared" si="26"/>
        <v>491949.546169948</v>
      </c>
      <c r="N82" s="15"/>
      <c r="O82" s="15"/>
      <c r="P82" s="15"/>
      <c r="Q82" s="15"/>
      <c r="R82" s="6"/>
      <c r="S82" s="6"/>
    </row>
    <row r="83" spans="1:19" s="3" customFormat="1" ht="12.75">
      <c r="A83" s="6" t="s">
        <v>7</v>
      </c>
      <c r="B83" s="6" t="s">
        <v>93</v>
      </c>
      <c r="C83" s="6" t="s">
        <v>50</v>
      </c>
      <c r="D83" s="6"/>
      <c r="E83" s="7"/>
      <c r="F83" s="15">
        <v>300000</v>
      </c>
      <c r="G83" s="15">
        <f aca="true" t="shared" si="27" ref="G83:M83">F83*(1+$P$54)</f>
        <v>309000</v>
      </c>
      <c r="H83" s="15">
        <f t="shared" si="27"/>
        <v>318270</v>
      </c>
      <c r="I83" s="15">
        <f t="shared" si="27"/>
        <v>327818.10000000003</v>
      </c>
      <c r="J83" s="15">
        <f t="shared" si="27"/>
        <v>337652.64300000004</v>
      </c>
      <c r="K83" s="15">
        <f t="shared" si="27"/>
        <v>347782.22229000006</v>
      </c>
      <c r="L83" s="15">
        <f t="shared" si="27"/>
        <v>358215.68895870005</v>
      </c>
      <c r="M83" s="15">
        <f t="shared" si="27"/>
        <v>368962.15962746105</v>
      </c>
      <c r="N83" s="15"/>
      <c r="O83" s="15"/>
      <c r="P83" s="15"/>
      <c r="Q83" s="15"/>
      <c r="R83" s="6"/>
      <c r="S83" s="6"/>
    </row>
    <row r="84" spans="1:19" s="3" customFormat="1" ht="12.75">
      <c r="A84" s="6"/>
      <c r="B84" s="6"/>
      <c r="C84" s="6"/>
      <c r="D84" s="6"/>
      <c r="E84" s="7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6"/>
      <c r="S84" s="6"/>
    </row>
    <row r="85" spans="1:19" s="3" customFormat="1" ht="12.75">
      <c r="A85" s="6" t="s">
        <v>7</v>
      </c>
      <c r="B85" s="6" t="s">
        <v>31</v>
      </c>
      <c r="C85" s="6" t="s">
        <v>50</v>
      </c>
      <c r="D85" s="6"/>
      <c r="E85" s="7"/>
      <c r="F85" s="15">
        <v>175000</v>
      </c>
      <c r="G85" s="15">
        <f aca="true" t="shared" si="28" ref="G85:M85">F85*(1+$P$54)</f>
        <v>180250</v>
      </c>
      <c r="H85" s="15">
        <f t="shared" si="28"/>
        <v>185657.5</v>
      </c>
      <c r="I85" s="15">
        <f t="shared" si="28"/>
        <v>191227.225</v>
      </c>
      <c r="J85" s="15">
        <f t="shared" si="28"/>
        <v>196964.04175</v>
      </c>
      <c r="K85" s="15">
        <f t="shared" si="28"/>
        <v>202872.9630025</v>
      </c>
      <c r="L85" s="15">
        <f t="shared" si="28"/>
        <v>208959.15189257503</v>
      </c>
      <c r="M85" s="15">
        <f t="shared" si="28"/>
        <v>215227.9264493523</v>
      </c>
      <c r="N85" s="15"/>
      <c r="O85" s="15"/>
      <c r="P85" s="15"/>
      <c r="Q85" s="15"/>
      <c r="R85" s="6"/>
      <c r="S85" s="6"/>
    </row>
    <row r="86" spans="1:19" s="3" customFormat="1" ht="12.75">
      <c r="A86" s="6"/>
      <c r="B86" s="6"/>
      <c r="C86" s="6"/>
      <c r="D86" s="6"/>
      <c r="E86" s="7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6"/>
      <c r="S86" s="6"/>
    </row>
    <row r="87" spans="1:19" s="3" customFormat="1" ht="12.75">
      <c r="A87" s="6" t="s">
        <v>7</v>
      </c>
      <c r="B87" s="6" t="s">
        <v>32</v>
      </c>
      <c r="C87" s="6" t="s">
        <v>50</v>
      </c>
      <c r="D87" s="6"/>
      <c r="E87" s="7"/>
      <c r="F87" s="15">
        <v>175000</v>
      </c>
      <c r="G87" s="15">
        <f aca="true" t="shared" si="29" ref="G87:M87">F87*(1+$P$54)</f>
        <v>180250</v>
      </c>
      <c r="H87" s="15">
        <f t="shared" si="29"/>
        <v>185657.5</v>
      </c>
      <c r="I87" s="15">
        <f t="shared" si="29"/>
        <v>191227.225</v>
      </c>
      <c r="J87" s="15">
        <f t="shared" si="29"/>
        <v>196964.04175</v>
      </c>
      <c r="K87" s="15">
        <f t="shared" si="29"/>
        <v>202872.9630025</v>
      </c>
      <c r="L87" s="15">
        <f t="shared" si="29"/>
        <v>208959.15189257503</v>
      </c>
      <c r="M87" s="15">
        <f t="shared" si="29"/>
        <v>215227.9264493523</v>
      </c>
      <c r="N87" s="15">
        <f>M87*(1+$P$54)</f>
        <v>221684.76424283287</v>
      </c>
      <c r="O87" s="15">
        <f>N87*(1+$P$54)</f>
        <v>228335.30717011786</v>
      </c>
      <c r="P87" s="15">
        <f>O87*(1+$P$54)</f>
        <v>235185.3663852214</v>
      </c>
      <c r="Q87" s="15"/>
      <c r="R87" s="6"/>
      <c r="S87" s="6"/>
    </row>
    <row r="88" spans="1:19" s="3" customFormat="1" ht="12.75">
      <c r="A88" s="6"/>
      <c r="B88" s="6"/>
      <c r="C88" s="6"/>
      <c r="D88" s="6"/>
      <c r="E88" s="7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6"/>
      <c r="S88" s="6"/>
    </row>
    <row r="89" spans="1:19" s="3" customFormat="1" ht="12.75">
      <c r="A89" s="6" t="s">
        <v>7</v>
      </c>
      <c r="B89" s="6" t="s">
        <v>51</v>
      </c>
      <c r="C89" s="6" t="s">
        <v>50</v>
      </c>
      <c r="D89" s="6"/>
      <c r="E89" s="7"/>
      <c r="F89" s="15">
        <v>400000</v>
      </c>
      <c r="G89" s="15">
        <f aca="true" t="shared" si="30" ref="G89:M89">F89*(1+$P$54)</f>
        <v>412000</v>
      </c>
      <c r="H89" s="15">
        <f t="shared" si="30"/>
        <v>424360</v>
      </c>
      <c r="I89" s="15">
        <f t="shared" si="30"/>
        <v>437090.8</v>
      </c>
      <c r="J89" s="15">
        <f t="shared" si="30"/>
        <v>450203.524</v>
      </c>
      <c r="K89" s="15">
        <f t="shared" si="30"/>
        <v>463709.62971999997</v>
      </c>
      <c r="L89" s="15">
        <f t="shared" si="30"/>
        <v>477620.9186116</v>
      </c>
      <c r="M89" s="15">
        <f t="shared" si="30"/>
        <v>491949.546169948</v>
      </c>
      <c r="N89" s="15">
        <f>M89*(1+$P$54)</f>
        <v>506708.03255504643</v>
      </c>
      <c r="O89" s="15">
        <f>N89*(1+$P$54)</f>
        <v>521909.27353169787</v>
      </c>
      <c r="P89" s="15">
        <f>O89*(1+$P$54)</f>
        <v>537566.5517376488</v>
      </c>
      <c r="Q89" s="15"/>
      <c r="R89" s="6"/>
      <c r="S89" s="6"/>
    </row>
    <row r="90" spans="1:19" s="3" customFormat="1" ht="12.75">
      <c r="A90" s="6"/>
      <c r="B90" s="6"/>
      <c r="C90" s="6"/>
      <c r="D90" s="6"/>
      <c r="E90" s="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6"/>
      <c r="S90" s="6"/>
    </row>
    <row r="91" spans="1:19" s="3" customFormat="1" ht="12.75">
      <c r="A91" s="6" t="s">
        <v>7</v>
      </c>
      <c r="B91" s="6" t="s">
        <v>52</v>
      </c>
      <c r="C91" s="6" t="s">
        <v>50</v>
      </c>
      <c r="D91" s="6"/>
      <c r="E91" s="7"/>
      <c r="F91" s="15">
        <v>400000</v>
      </c>
      <c r="G91" s="15">
        <f aca="true" t="shared" si="31" ref="G91:M91">F91*(1+$P$54)</f>
        <v>412000</v>
      </c>
      <c r="H91" s="15">
        <f t="shared" si="31"/>
        <v>424360</v>
      </c>
      <c r="I91" s="15">
        <f t="shared" si="31"/>
        <v>437090.8</v>
      </c>
      <c r="J91" s="15">
        <f t="shared" si="31"/>
        <v>450203.524</v>
      </c>
      <c r="K91" s="15">
        <f t="shared" si="31"/>
        <v>463709.62971999997</v>
      </c>
      <c r="L91" s="15">
        <f t="shared" si="31"/>
        <v>477620.9186116</v>
      </c>
      <c r="M91" s="15">
        <f t="shared" si="31"/>
        <v>491949.546169948</v>
      </c>
      <c r="N91" s="15">
        <f>M91*(1+$P$54)</f>
        <v>506708.03255504643</v>
      </c>
      <c r="O91" s="15">
        <f>N91*(1+$P$54)</f>
        <v>521909.27353169787</v>
      </c>
      <c r="P91" s="15">
        <f>O91*(1+$P$54)</f>
        <v>537566.5517376488</v>
      </c>
      <c r="Q91" s="15"/>
      <c r="R91" s="6"/>
      <c r="S91" s="6"/>
    </row>
    <row r="92" spans="1:19" s="3" customFormat="1" ht="12.75">
      <c r="A92" s="6"/>
      <c r="B92" s="6"/>
      <c r="C92" s="6"/>
      <c r="D92" s="6"/>
      <c r="E92" s="7"/>
      <c r="F92" s="15"/>
      <c r="G92" s="15"/>
      <c r="H92" s="15"/>
      <c r="I92" s="15"/>
      <c r="J92" s="15"/>
      <c r="K92" s="7"/>
      <c r="L92" s="7"/>
      <c r="M92" s="7"/>
      <c r="N92" s="7"/>
      <c r="O92" s="7"/>
      <c r="P92" s="7"/>
      <c r="Q92" s="15"/>
      <c r="R92" s="6"/>
      <c r="S92" s="6"/>
    </row>
    <row r="93" spans="1:19" ht="12.75">
      <c r="A93" s="11" t="s">
        <v>53</v>
      </c>
      <c r="B93" s="11"/>
      <c r="C93" s="11"/>
      <c r="D93" s="11"/>
      <c r="E93" s="33"/>
      <c r="F93" s="16">
        <v>1200</v>
      </c>
      <c r="G93" s="16">
        <f aca="true" t="shared" si="32" ref="G93:P93">F93*(1+G54)</f>
        <v>1224</v>
      </c>
      <c r="H93" s="16">
        <f t="shared" si="32"/>
        <v>1248.48</v>
      </c>
      <c r="I93" s="16">
        <v>1700</v>
      </c>
      <c r="J93" s="16">
        <f t="shared" si="32"/>
        <v>1734</v>
      </c>
      <c r="K93" s="16">
        <f t="shared" si="32"/>
        <v>1768.68</v>
      </c>
      <c r="L93" s="16">
        <f t="shared" si="32"/>
        <v>1804.0536000000002</v>
      </c>
      <c r="M93" s="16">
        <f t="shared" si="32"/>
        <v>1840.1346720000001</v>
      </c>
      <c r="N93" s="16">
        <f t="shared" si="32"/>
        <v>1895.3387121600001</v>
      </c>
      <c r="O93" s="16">
        <f t="shared" si="32"/>
        <v>1952.1988735248</v>
      </c>
      <c r="P93" s="16">
        <f t="shared" si="32"/>
        <v>2010.764839730544</v>
      </c>
      <c r="Q93" s="7"/>
      <c r="R93" s="6"/>
      <c r="S93" s="6"/>
    </row>
    <row r="94" spans="1:19" ht="12.75">
      <c r="A94" s="17"/>
      <c r="B94" s="17"/>
      <c r="C94" s="17"/>
      <c r="D94" s="17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7"/>
      <c r="R94" s="6"/>
      <c r="S94" s="6"/>
    </row>
    <row r="95" spans="1:19" s="3" customFormat="1" ht="12.75">
      <c r="A95" s="9" t="s">
        <v>27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7"/>
      <c r="R95" s="6"/>
      <c r="S95" s="6"/>
    </row>
    <row r="96" spans="1:19" ht="12.75">
      <c r="A96" s="6"/>
      <c r="B96" s="6"/>
      <c r="C96" s="6"/>
      <c r="D96" s="6" t="s">
        <v>8</v>
      </c>
      <c r="E96" s="11"/>
      <c r="F96" s="12">
        <v>0</v>
      </c>
      <c r="G96" s="12">
        <f aca="true" t="shared" si="33" ref="G96:P96">F96+1</f>
        <v>1</v>
      </c>
      <c r="H96" s="12">
        <f t="shared" si="33"/>
        <v>2</v>
      </c>
      <c r="I96" s="12">
        <f t="shared" si="33"/>
        <v>3</v>
      </c>
      <c r="J96" s="12">
        <f t="shared" si="33"/>
        <v>4</v>
      </c>
      <c r="K96" s="12">
        <f t="shared" si="33"/>
        <v>5</v>
      </c>
      <c r="L96" s="12">
        <f t="shared" si="33"/>
        <v>6</v>
      </c>
      <c r="M96" s="12">
        <f t="shared" si="33"/>
        <v>7</v>
      </c>
      <c r="N96" s="12">
        <f t="shared" si="33"/>
        <v>8</v>
      </c>
      <c r="O96" s="12">
        <f t="shared" si="33"/>
        <v>9</v>
      </c>
      <c r="P96" s="12">
        <f t="shared" si="33"/>
        <v>10</v>
      </c>
      <c r="Q96" s="7"/>
      <c r="R96" s="6"/>
      <c r="S96" s="6"/>
    </row>
    <row r="97" spans="1:19" s="3" customFormat="1" ht="12.75">
      <c r="A97" s="19" t="s">
        <v>9</v>
      </c>
      <c r="B97" s="6"/>
      <c r="C97" s="6"/>
      <c r="D97" s="6"/>
      <c r="E97" s="6"/>
      <c r="F97" s="6"/>
      <c r="G97" s="6"/>
      <c r="H97" s="6"/>
      <c r="I97" s="6"/>
      <c r="J97" s="6"/>
      <c r="K97" s="32"/>
      <c r="L97" s="32"/>
      <c r="M97" s="32"/>
      <c r="N97" s="6"/>
      <c r="O97" s="6"/>
      <c r="P97" s="6"/>
      <c r="Q97" s="7"/>
      <c r="R97" s="6"/>
      <c r="S97" s="6"/>
    </row>
    <row r="98" spans="1:19" ht="12.75">
      <c r="A98" s="6" t="s">
        <v>7</v>
      </c>
      <c r="B98" s="6" t="s">
        <v>30</v>
      </c>
      <c r="C98" s="6"/>
      <c r="D98" s="6"/>
      <c r="E98" s="15"/>
      <c r="F98" s="15">
        <f aca="true" t="shared" si="34" ref="F98:P98">+F56*F10</f>
        <v>9000000</v>
      </c>
      <c r="G98" s="32">
        <f t="shared" si="34"/>
        <v>0</v>
      </c>
      <c r="H98" s="32">
        <f t="shared" si="34"/>
        <v>0</v>
      </c>
      <c r="I98" s="32">
        <f t="shared" si="34"/>
        <v>0</v>
      </c>
      <c r="J98" s="32">
        <f t="shared" si="34"/>
        <v>0</v>
      </c>
      <c r="K98" s="32">
        <f t="shared" si="34"/>
        <v>0</v>
      </c>
      <c r="L98" s="32">
        <f t="shared" si="34"/>
        <v>0</v>
      </c>
      <c r="M98" s="32">
        <f t="shared" si="34"/>
        <v>0</v>
      </c>
      <c r="N98" s="15">
        <f t="shared" si="34"/>
        <v>0</v>
      </c>
      <c r="O98" s="15">
        <f t="shared" si="34"/>
        <v>0</v>
      </c>
      <c r="P98" s="15">
        <f t="shared" si="34"/>
        <v>0</v>
      </c>
      <c r="Q98" s="15">
        <f>+P98+O98+N98+M98+L98+K98+J98+I98+H98+G98+F98+E98</f>
        <v>9000000</v>
      </c>
      <c r="R98" s="6"/>
      <c r="S98" s="6"/>
    </row>
    <row r="99" spans="1:19" s="3" customFormat="1" ht="12.75">
      <c r="A99" s="6" t="s">
        <v>7</v>
      </c>
      <c r="B99" s="14" t="s">
        <v>72</v>
      </c>
      <c r="C99" s="6"/>
      <c r="D99" s="6"/>
      <c r="E99" s="15"/>
      <c r="F99" s="15">
        <f aca="true" t="shared" si="35" ref="F99:P99">+F57*F12</f>
        <v>0</v>
      </c>
      <c r="G99" s="38">
        <f t="shared" si="35"/>
        <v>0</v>
      </c>
      <c r="H99" s="38">
        <f t="shared" si="35"/>
        <v>1741629.6</v>
      </c>
      <c r="I99" s="32">
        <f t="shared" si="35"/>
        <v>0</v>
      </c>
      <c r="J99" s="32">
        <f t="shared" si="35"/>
        <v>0</v>
      </c>
      <c r="K99" s="32">
        <f t="shared" si="35"/>
        <v>0</v>
      </c>
      <c r="L99" s="32">
        <f t="shared" si="35"/>
        <v>0</v>
      </c>
      <c r="M99" s="32">
        <f t="shared" si="35"/>
        <v>0</v>
      </c>
      <c r="N99" s="15">
        <f t="shared" si="35"/>
        <v>0</v>
      </c>
      <c r="O99" s="15">
        <f t="shared" si="35"/>
        <v>0</v>
      </c>
      <c r="P99" s="15">
        <f t="shared" si="35"/>
        <v>0</v>
      </c>
      <c r="Q99" s="15">
        <f aca="true" t="shared" si="36" ref="Q99:Q137">+P99+O99+N99+M99+L99+K99+J99+I99+H99+G99+F99+E99</f>
        <v>1741629.6</v>
      </c>
      <c r="R99" s="6"/>
      <c r="S99" s="6"/>
    </row>
    <row r="100" spans="1:19" ht="12.75">
      <c r="A100" s="6" t="s">
        <v>7</v>
      </c>
      <c r="B100" s="14" t="s">
        <v>73</v>
      </c>
      <c r="C100" s="6"/>
      <c r="D100" s="6"/>
      <c r="E100" s="15"/>
      <c r="F100" s="15">
        <f aca="true" t="shared" si="37" ref="F100:K104">+F58*F13</f>
        <v>0</v>
      </c>
      <c r="G100" s="38">
        <f t="shared" si="37"/>
        <v>1101600</v>
      </c>
      <c r="H100" s="38">
        <f t="shared" si="37"/>
        <v>0</v>
      </c>
      <c r="I100" s="32">
        <f t="shared" si="37"/>
        <v>0</v>
      </c>
      <c r="J100" s="32">
        <f t="shared" si="37"/>
        <v>0</v>
      </c>
      <c r="K100" s="32">
        <f t="shared" si="37"/>
        <v>0</v>
      </c>
      <c r="L100" s="32">
        <f>+L62*L15</f>
        <v>0</v>
      </c>
      <c r="M100" s="32">
        <f>+M62*M15</f>
        <v>0</v>
      </c>
      <c r="N100" s="15">
        <f>+N62*N15</f>
        <v>0</v>
      </c>
      <c r="O100" s="15">
        <f>+O62*O15</f>
        <v>0</v>
      </c>
      <c r="P100" s="15">
        <f>+P62*P15</f>
        <v>0</v>
      </c>
      <c r="Q100" s="15">
        <f t="shared" si="36"/>
        <v>1101600</v>
      </c>
      <c r="R100" s="6"/>
      <c r="S100" s="6"/>
    </row>
    <row r="101" spans="1:19" ht="12.75">
      <c r="A101" s="6" t="s">
        <v>7</v>
      </c>
      <c r="B101" s="30" t="s">
        <v>74</v>
      </c>
      <c r="C101" s="6"/>
      <c r="D101" s="6"/>
      <c r="E101" s="15"/>
      <c r="F101" s="15">
        <f t="shared" si="37"/>
        <v>0</v>
      </c>
      <c r="G101" s="38">
        <f t="shared" si="37"/>
        <v>1266840</v>
      </c>
      <c r="H101" s="38">
        <f t="shared" si="37"/>
        <v>0</v>
      </c>
      <c r="I101" s="32">
        <f t="shared" si="37"/>
        <v>0</v>
      </c>
      <c r="J101" s="32">
        <f t="shared" si="37"/>
        <v>0</v>
      </c>
      <c r="K101" s="32">
        <f t="shared" si="37"/>
        <v>0</v>
      </c>
      <c r="L101" s="32">
        <f>+L64*L19</f>
        <v>0</v>
      </c>
      <c r="M101" s="32">
        <f>+M64*M19</f>
        <v>0</v>
      </c>
      <c r="N101" s="15">
        <f>+N64*N19</f>
        <v>0</v>
      </c>
      <c r="O101" s="15">
        <f>+O64*O19</f>
        <v>0</v>
      </c>
      <c r="P101" s="15">
        <f>+P64*P19</f>
        <v>0</v>
      </c>
      <c r="Q101" s="15">
        <f t="shared" si="36"/>
        <v>1266840</v>
      </c>
      <c r="R101" s="6"/>
      <c r="S101" s="6"/>
    </row>
    <row r="102" spans="1:19" ht="12.75">
      <c r="A102" s="6" t="s">
        <v>7</v>
      </c>
      <c r="B102" s="14" t="s">
        <v>75</v>
      </c>
      <c r="C102" s="6"/>
      <c r="D102" s="6"/>
      <c r="E102" s="15"/>
      <c r="F102" s="15">
        <f t="shared" si="37"/>
        <v>0</v>
      </c>
      <c r="G102" s="38">
        <f t="shared" si="37"/>
        <v>0</v>
      </c>
      <c r="H102" s="38">
        <f t="shared" si="37"/>
        <v>940001.3999999999</v>
      </c>
      <c r="I102" s="32">
        <f t="shared" si="37"/>
        <v>0</v>
      </c>
      <c r="J102" s="32">
        <f t="shared" si="37"/>
        <v>0</v>
      </c>
      <c r="K102" s="32">
        <f t="shared" si="37"/>
        <v>0</v>
      </c>
      <c r="L102" s="32">
        <f>+L65*L24</f>
        <v>0</v>
      </c>
      <c r="M102" s="32">
        <f>+M65*M24</f>
        <v>0</v>
      </c>
      <c r="N102" s="15">
        <f>+N65*N24</f>
        <v>0</v>
      </c>
      <c r="O102" s="15">
        <f>+O65*O24</f>
        <v>0</v>
      </c>
      <c r="P102" s="15">
        <f>+P65*P24</f>
        <v>0</v>
      </c>
      <c r="Q102" s="15">
        <f t="shared" si="36"/>
        <v>940001.3999999999</v>
      </c>
      <c r="R102" s="6"/>
      <c r="S102" s="6"/>
    </row>
    <row r="103" spans="1:19" ht="12.75">
      <c r="A103" s="6" t="s">
        <v>7</v>
      </c>
      <c r="B103" s="14" t="s">
        <v>77</v>
      </c>
      <c r="C103" s="6"/>
      <c r="D103" s="6"/>
      <c r="E103" s="15"/>
      <c r="F103" s="15">
        <f t="shared" si="37"/>
        <v>0</v>
      </c>
      <c r="G103" s="38">
        <f t="shared" si="37"/>
        <v>0</v>
      </c>
      <c r="H103" s="38">
        <f t="shared" si="37"/>
        <v>1034677.8</v>
      </c>
      <c r="I103" s="32">
        <f t="shared" si="37"/>
        <v>0</v>
      </c>
      <c r="J103" s="32">
        <f t="shared" si="37"/>
        <v>0</v>
      </c>
      <c r="K103" s="32">
        <f t="shared" si="37"/>
        <v>0</v>
      </c>
      <c r="L103" s="32">
        <f>+L66*L27</f>
        <v>0</v>
      </c>
      <c r="M103" s="32">
        <f>+M66*M27</f>
        <v>0</v>
      </c>
      <c r="N103" s="15">
        <f>+N66*N27</f>
        <v>0</v>
      </c>
      <c r="O103" s="15">
        <f>+O66*O27</f>
        <v>0</v>
      </c>
      <c r="P103" s="15">
        <f>+P66*P27</f>
        <v>0</v>
      </c>
      <c r="Q103" s="15">
        <f t="shared" si="36"/>
        <v>1034677.8</v>
      </c>
      <c r="R103" s="6"/>
      <c r="S103" s="6"/>
    </row>
    <row r="104" spans="1:19" ht="12.75">
      <c r="A104" s="6" t="s">
        <v>7</v>
      </c>
      <c r="B104" s="14" t="s">
        <v>78</v>
      </c>
      <c r="C104" s="6"/>
      <c r="D104" s="6"/>
      <c r="E104" s="15"/>
      <c r="F104" s="15">
        <f t="shared" si="37"/>
        <v>0</v>
      </c>
      <c r="G104" s="38">
        <f t="shared" si="37"/>
        <v>0</v>
      </c>
      <c r="H104" s="38">
        <f t="shared" si="37"/>
        <v>940001.3999999999</v>
      </c>
      <c r="I104" s="32">
        <f t="shared" si="37"/>
        <v>0</v>
      </c>
      <c r="J104" s="32">
        <f t="shared" si="37"/>
        <v>0</v>
      </c>
      <c r="K104" s="32">
        <f t="shared" si="37"/>
        <v>0</v>
      </c>
      <c r="L104" s="32">
        <f>+L67*L41</f>
        <v>0</v>
      </c>
      <c r="M104" s="32">
        <f>+M67*M41</f>
        <v>0</v>
      </c>
      <c r="N104" s="15">
        <f>+N67*N41</f>
        <v>0</v>
      </c>
      <c r="O104" s="15">
        <f>+O67*O41</f>
        <v>0</v>
      </c>
      <c r="P104" s="15">
        <f>+P67*P41</f>
        <v>0</v>
      </c>
      <c r="Q104" s="15">
        <f t="shared" si="36"/>
        <v>940001.3999999999</v>
      </c>
      <c r="R104" s="6"/>
      <c r="S104" s="6"/>
    </row>
    <row r="105" spans="1:19" ht="12.75">
      <c r="A105" s="6"/>
      <c r="B105" s="14"/>
      <c r="C105" s="6"/>
      <c r="D105" s="6"/>
      <c r="E105" s="15"/>
      <c r="F105" s="15"/>
      <c r="G105" s="38"/>
      <c r="H105" s="38"/>
      <c r="I105" s="32"/>
      <c r="J105" s="32"/>
      <c r="K105" s="32"/>
      <c r="L105" s="32"/>
      <c r="M105" s="32"/>
      <c r="N105" s="15"/>
      <c r="O105" s="15"/>
      <c r="P105" s="15"/>
      <c r="Q105" s="15"/>
      <c r="R105" s="6"/>
      <c r="S105" s="6"/>
    </row>
    <row r="106" spans="1:19" ht="12.75">
      <c r="A106" s="6" t="s">
        <v>7</v>
      </c>
      <c r="B106" s="6" t="s">
        <v>70</v>
      </c>
      <c r="C106" s="6"/>
      <c r="D106" s="6"/>
      <c r="E106" s="15"/>
      <c r="F106" s="32">
        <f aca="true" t="shared" si="38" ref="F106:M111">+F64*F19</f>
        <v>0</v>
      </c>
      <c r="G106" s="38">
        <f t="shared" si="38"/>
        <v>1484100</v>
      </c>
      <c r="H106" s="38">
        <f t="shared" si="38"/>
        <v>0</v>
      </c>
      <c r="I106" s="38">
        <f t="shared" si="38"/>
        <v>0</v>
      </c>
      <c r="J106" s="38">
        <f t="shared" si="38"/>
        <v>0</v>
      </c>
      <c r="K106" s="32">
        <f t="shared" si="38"/>
        <v>0</v>
      </c>
      <c r="L106" s="32">
        <f t="shared" si="38"/>
        <v>0</v>
      </c>
      <c r="M106" s="32">
        <f t="shared" si="38"/>
        <v>0</v>
      </c>
      <c r="N106" s="15">
        <f>+N68*N43</f>
        <v>0</v>
      </c>
      <c r="O106" s="15">
        <f>+O68*O43</f>
        <v>0</v>
      </c>
      <c r="P106" s="15">
        <f>+P68*P43</f>
        <v>0</v>
      </c>
      <c r="Q106" s="15">
        <f t="shared" si="36"/>
        <v>1484100</v>
      </c>
      <c r="R106" s="6"/>
      <c r="S106" s="6"/>
    </row>
    <row r="107" spans="1:19" ht="12.75">
      <c r="A107" s="6" t="s">
        <v>7</v>
      </c>
      <c r="B107" s="6" t="s">
        <v>71</v>
      </c>
      <c r="C107" s="6"/>
      <c r="D107" s="6"/>
      <c r="E107" s="15"/>
      <c r="F107" s="32">
        <f t="shared" si="38"/>
        <v>0</v>
      </c>
      <c r="G107" s="38">
        <f t="shared" si="38"/>
        <v>0</v>
      </c>
      <c r="H107" s="38">
        <f t="shared" si="38"/>
        <v>0</v>
      </c>
      <c r="I107" s="38">
        <f t="shared" si="38"/>
        <v>853211.2320000001</v>
      </c>
      <c r="J107" s="38">
        <f t="shared" si="38"/>
        <v>0</v>
      </c>
      <c r="K107" s="32">
        <f t="shared" si="38"/>
        <v>0</v>
      </c>
      <c r="L107" s="32">
        <f t="shared" si="38"/>
        <v>0</v>
      </c>
      <c r="M107" s="32">
        <f t="shared" si="38"/>
        <v>0</v>
      </c>
      <c r="N107" s="32">
        <f>+N65*N20</f>
        <v>0</v>
      </c>
      <c r="O107" s="32">
        <f>+O65*O20</f>
        <v>0</v>
      </c>
      <c r="P107" s="32">
        <f>+P65*P20</f>
        <v>0</v>
      </c>
      <c r="Q107" s="15">
        <f t="shared" si="36"/>
        <v>853211.2320000001</v>
      </c>
      <c r="R107" s="6"/>
      <c r="S107" s="6"/>
    </row>
    <row r="108" spans="1:19" ht="12.75">
      <c r="A108" s="6" t="s">
        <v>7</v>
      </c>
      <c r="B108" s="6" t="s">
        <v>79</v>
      </c>
      <c r="C108" s="6"/>
      <c r="D108" s="6"/>
      <c r="E108" s="15"/>
      <c r="F108" s="32">
        <f t="shared" si="38"/>
        <v>0</v>
      </c>
      <c r="G108" s="38">
        <f t="shared" si="38"/>
        <v>0</v>
      </c>
      <c r="H108" s="38">
        <f t="shared" si="38"/>
        <v>1602216.0000000002</v>
      </c>
      <c r="I108" s="38">
        <f t="shared" si="38"/>
        <v>0</v>
      </c>
      <c r="J108" s="38">
        <f t="shared" si="38"/>
        <v>0</v>
      </c>
      <c r="K108" s="32">
        <f t="shared" si="38"/>
        <v>0</v>
      </c>
      <c r="L108" s="32">
        <f t="shared" si="38"/>
        <v>0</v>
      </c>
      <c r="M108" s="32">
        <f t="shared" si="38"/>
        <v>0</v>
      </c>
      <c r="N108" s="15">
        <f>+N87*N47</f>
        <v>0</v>
      </c>
      <c r="O108" s="15">
        <f>+O87*O47</f>
        <v>0</v>
      </c>
      <c r="P108" s="15">
        <f>+P87*P47</f>
        <v>0</v>
      </c>
      <c r="Q108" s="15">
        <f t="shared" si="36"/>
        <v>1602216.0000000002</v>
      </c>
      <c r="R108" s="6"/>
      <c r="S108" s="6"/>
    </row>
    <row r="109" spans="1:19" ht="12.75">
      <c r="A109" s="6" t="s">
        <v>7</v>
      </c>
      <c r="B109" s="6" t="s">
        <v>80</v>
      </c>
      <c r="C109" s="6"/>
      <c r="D109" s="6"/>
      <c r="E109" s="15"/>
      <c r="F109" s="32">
        <f t="shared" si="38"/>
        <v>0</v>
      </c>
      <c r="G109" s="38">
        <f t="shared" si="38"/>
        <v>0</v>
      </c>
      <c r="H109" s="38">
        <f t="shared" si="38"/>
        <v>0</v>
      </c>
      <c r="I109" s="38">
        <f t="shared" si="38"/>
        <v>0</v>
      </c>
      <c r="J109" s="38">
        <f t="shared" si="38"/>
        <v>552062.0713050001</v>
      </c>
      <c r="K109" s="32">
        <f t="shared" si="38"/>
        <v>0</v>
      </c>
      <c r="L109" s="32">
        <f t="shared" si="38"/>
        <v>0</v>
      </c>
      <c r="M109" s="32">
        <f t="shared" si="38"/>
        <v>0</v>
      </c>
      <c r="N109" s="15"/>
      <c r="O109" s="15"/>
      <c r="P109" s="15"/>
      <c r="Q109" s="15">
        <f t="shared" si="36"/>
        <v>552062.0713050001</v>
      </c>
      <c r="R109" s="6"/>
      <c r="S109" s="6"/>
    </row>
    <row r="110" spans="1:19" ht="12.75">
      <c r="A110" s="6" t="s">
        <v>7</v>
      </c>
      <c r="B110" s="6" t="s">
        <v>81</v>
      </c>
      <c r="C110" s="6"/>
      <c r="D110" s="6"/>
      <c r="E110" s="15"/>
      <c r="F110" s="32">
        <f t="shared" si="38"/>
        <v>0</v>
      </c>
      <c r="G110" s="38">
        <f t="shared" si="38"/>
        <v>0</v>
      </c>
      <c r="H110" s="38">
        <f t="shared" si="38"/>
        <v>0</v>
      </c>
      <c r="I110" s="38">
        <f t="shared" si="38"/>
        <v>830472.52</v>
      </c>
      <c r="J110" s="38">
        <f t="shared" si="38"/>
        <v>0</v>
      </c>
      <c r="K110" s="32">
        <f t="shared" si="38"/>
        <v>0</v>
      </c>
      <c r="L110" s="32">
        <f t="shared" si="38"/>
        <v>0</v>
      </c>
      <c r="M110" s="32">
        <f t="shared" si="38"/>
        <v>0</v>
      </c>
      <c r="N110" s="32">
        <f>+N68*N23</f>
        <v>0</v>
      </c>
      <c r="O110" s="32">
        <f>+O68*O23</f>
        <v>0</v>
      </c>
      <c r="P110" s="32">
        <f>+P68*P23</f>
        <v>0</v>
      </c>
      <c r="Q110" s="15">
        <f t="shared" si="36"/>
        <v>830472.52</v>
      </c>
      <c r="R110" s="6"/>
      <c r="S110" s="6"/>
    </row>
    <row r="111" spans="1:19" ht="12.75">
      <c r="A111" s="6" t="s">
        <v>7</v>
      </c>
      <c r="B111" s="6" t="s">
        <v>82</v>
      </c>
      <c r="C111" s="6"/>
      <c r="D111" s="6"/>
      <c r="E111" s="15"/>
      <c r="F111" s="32">
        <f t="shared" si="38"/>
        <v>0</v>
      </c>
      <c r="G111" s="38">
        <f t="shared" si="38"/>
        <v>0</v>
      </c>
      <c r="H111" s="38">
        <f t="shared" si="38"/>
        <v>0</v>
      </c>
      <c r="I111" s="38">
        <f t="shared" si="38"/>
        <v>1029895.1975</v>
      </c>
      <c r="J111" s="38">
        <f t="shared" si="38"/>
        <v>0</v>
      </c>
      <c r="K111" s="32">
        <f t="shared" si="38"/>
        <v>0</v>
      </c>
      <c r="L111" s="32">
        <f t="shared" si="38"/>
        <v>0</v>
      </c>
      <c r="M111" s="32">
        <f t="shared" si="38"/>
        <v>0</v>
      </c>
      <c r="N111" s="15"/>
      <c r="O111" s="15"/>
      <c r="P111" s="15"/>
      <c r="Q111" s="15">
        <f t="shared" si="36"/>
        <v>1029895.1975</v>
      </c>
      <c r="R111" s="6"/>
      <c r="S111" s="6"/>
    </row>
    <row r="112" spans="1:19" ht="12.75">
      <c r="A112" s="6"/>
      <c r="B112" s="6"/>
      <c r="C112" s="6"/>
      <c r="D112" s="6"/>
      <c r="E112" s="15"/>
      <c r="F112" s="32"/>
      <c r="G112" s="38"/>
      <c r="H112" s="38"/>
      <c r="I112" s="38"/>
      <c r="J112" s="38"/>
      <c r="K112" s="32"/>
      <c r="L112" s="32"/>
      <c r="M112" s="32"/>
      <c r="N112" s="15"/>
      <c r="O112" s="15"/>
      <c r="P112" s="15"/>
      <c r="Q112" s="15"/>
      <c r="R112" s="6"/>
      <c r="S112" s="6"/>
    </row>
    <row r="113" spans="1:19" ht="12.75">
      <c r="A113" s="6" t="s">
        <v>7</v>
      </c>
      <c r="B113" s="6" t="s">
        <v>83</v>
      </c>
      <c r="C113" s="6"/>
      <c r="D113" s="6"/>
      <c r="E113" s="15"/>
      <c r="F113" s="32">
        <f aca="true" t="shared" si="39" ref="F113:M115">+F71*F26</f>
        <v>0</v>
      </c>
      <c r="G113" s="38">
        <f t="shared" si="39"/>
        <v>0</v>
      </c>
      <c r="H113" s="38">
        <f t="shared" si="39"/>
        <v>868877.1</v>
      </c>
      <c r="I113" s="38">
        <f t="shared" si="39"/>
        <v>0</v>
      </c>
      <c r="J113" s="38">
        <f t="shared" si="39"/>
        <v>0</v>
      </c>
      <c r="K113" s="38">
        <f t="shared" si="39"/>
        <v>0</v>
      </c>
      <c r="L113" s="32">
        <f t="shared" si="39"/>
        <v>0</v>
      </c>
      <c r="M113" s="32">
        <f t="shared" si="39"/>
        <v>0</v>
      </c>
      <c r="N113" s="15"/>
      <c r="O113" s="15"/>
      <c r="P113" s="15"/>
      <c r="Q113" s="15">
        <f t="shared" si="36"/>
        <v>868877.1</v>
      </c>
      <c r="R113" s="6"/>
      <c r="S113" s="6"/>
    </row>
    <row r="114" spans="1:19" ht="12.75">
      <c r="A114" s="6" t="s">
        <v>7</v>
      </c>
      <c r="B114" s="6" t="s">
        <v>84</v>
      </c>
      <c r="C114" s="6"/>
      <c r="D114" s="6"/>
      <c r="E114" s="15"/>
      <c r="F114" s="32">
        <f t="shared" si="39"/>
        <v>0</v>
      </c>
      <c r="G114" s="38">
        <f t="shared" si="39"/>
        <v>0</v>
      </c>
      <c r="H114" s="38">
        <f t="shared" si="39"/>
        <v>598347.6</v>
      </c>
      <c r="I114" s="38">
        <f t="shared" si="39"/>
        <v>0</v>
      </c>
      <c r="J114" s="38">
        <f t="shared" si="39"/>
        <v>0</v>
      </c>
      <c r="K114" s="38">
        <f t="shared" si="39"/>
        <v>0</v>
      </c>
      <c r="L114" s="32">
        <f t="shared" si="39"/>
        <v>0</v>
      </c>
      <c r="M114" s="32">
        <f t="shared" si="39"/>
        <v>0</v>
      </c>
      <c r="N114" s="15"/>
      <c r="O114" s="15"/>
      <c r="P114" s="15"/>
      <c r="Q114" s="15">
        <f t="shared" si="36"/>
        <v>598347.6</v>
      </c>
      <c r="R114" s="6"/>
      <c r="S114" s="6"/>
    </row>
    <row r="115" spans="1:19" ht="12.75">
      <c r="A115" s="6" t="s">
        <v>7</v>
      </c>
      <c r="B115" s="6" t="s">
        <v>85</v>
      </c>
      <c r="C115" s="6"/>
      <c r="D115" s="6"/>
      <c r="E115" s="15"/>
      <c r="F115" s="32">
        <f t="shared" si="39"/>
        <v>0</v>
      </c>
      <c r="G115" s="38">
        <f t="shared" si="39"/>
        <v>0</v>
      </c>
      <c r="H115" s="38">
        <f t="shared" si="39"/>
        <v>0</v>
      </c>
      <c r="I115" s="38">
        <f t="shared" si="39"/>
        <v>3901035.3900000006</v>
      </c>
      <c r="J115" s="38">
        <f t="shared" si="39"/>
        <v>0</v>
      </c>
      <c r="K115" s="38">
        <f t="shared" si="39"/>
        <v>0</v>
      </c>
      <c r="L115" s="32">
        <f t="shared" si="39"/>
        <v>0</v>
      </c>
      <c r="M115" s="32">
        <f t="shared" si="39"/>
        <v>0</v>
      </c>
      <c r="N115" s="32">
        <f>+N73*N28</f>
        <v>0</v>
      </c>
      <c r="O115" s="32">
        <f>+O73*O28</f>
        <v>0</v>
      </c>
      <c r="P115" s="32">
        <f>+P73*P28</f>
        <v>0</v>
      </c>
      <c r="Q115" s="15">
        <f t="shared" si="36"/>
        <v>3901035.3900000006</v>
      </c>
      <c r="R115" s="6"/>
      <c r="S115" s="6"/>
    </row>
    <row r="116" spans="1:19" ht="12.75">
      <c r="A116" s="6"/>
      <c r="B116" s="6"/>
      <c r="C116" s="6"/>
      <c r="D116" s="6"/>
      <c r="E116" s="15"/>
      <c r="F116" s="32"/>
      <c r="G116" s="38"/>
      <c r="H116" s="38"/>
      <c r="I116" s="38"/>
      <c r="J116" s="38"/>
      <c r="K116" s="38"/>
      <c r="L116" s="32"/>
      <c r="M116" s="32"/>
      <c r="N116" s="15"/>
      <c r="O116" s="15"/>
      <c r="P116" s="15"/>
      <c r="Q116" s="15"/>
      <c r="R116" s="6"/>
      <c r="S116" s="6"/>
    </row>
    <row r="117" spans="1:19" ht="12.75">
      <c r="A117" s="6" t="s">
        <v>7</v>
      </c>
      <c r="B117" s="6" t="s">
        <v>86</v>
      </c>
      <c r="C117" s="6"/>
      <c r="D117" s="6"/>
      <c r="E117" s="15"/>
      <c r="F117" s="32">
        <f aca="true" t="shared" si="40" ref="F117:M121">+F75*F30</f>
        <v>0</v>
      </c>
      <c r="G117" s="32">
        <f t="shared" si="40"/>
        <v>0</v>
      </c>
      <c r="H117" s="38">
        <f t="shared" si="40"/>
        <v>841293.7</v>
      </c>
      <c r="I117" s="38">
        <f t="shared" si="40"/>
        <v>0</v>
      </c>
      <c r="J117" s="32">
        <f t="shared" si="40"/>
        <v>0</v>
      </c>
      <c r="K117" s="32">
        <f t="shared" si="40"/>
        <v>0</v>
      </c>
      <c r="L117" s="32">
        <f t="shared" si="40"/>
        <v>0</v>
      </c>
      <c r="M117" s="32">
        <f t="shared" si="40"/>
        <v>0</v>
      </c>
      <c r="N117" s="15"/>
      <c r="O117" s="15"/>
      <c r="P117" s="15"/>
      <c r="Q117" s="15">
        <f t="shared" si="36"/>
        <v>841293.7</v>
      </c>
      <c r="R117" s="6"/>
      <c r="S117" s="6"/>
    </row>
    <row r="118" spans="1:19" ht="12.75">
      <c r="A118" s="6" t="s">
        <v>7</v>
      </c>
      <c r="B118" s="6" t="s">
        <v>87</v>
      </c>
      <c r="C118" s="6"/>
      <c r="D118" s="6"/>
      <c r="E118" s="15"/>
      <c r="F118" s="32">
        <f t="shared" si="40"/>
        <v>0</v>
      </c>
      <c r="G118" s="32">
        <f t="shared" si="40"/>
        <v>0</v>
      </c>
      <c r="H118" s="38">
        <f t="shared" si="40"/>
        <v>0</v>
      </c>
      <c r="I118" s="38">
        <f t="shared" si="40"/>
        <v>727756.1820000001</v>
      </c>
      <c r="J118" s="32">
        <f t="shared" si="40"/>
        <v>0</v>
      </c>
      <c r="K118" s="32">
        <f t="shared" si="40"/>
        <v>0</v>
      </c>
      <c r="L118" s="32">
        <f t="shared" si="40"/>
        <v>0</v>
      </c>
      <c r="M118" s="32">
        <f t="shared" si="40"/>
        <v>0</v>
      </c>
      <c r="N118" s="32">
        <f>+N76*N31</f>
        <v>0</v>
      </c>
      <c r="O118" s="32">
        <f>+O76*O31</f>
        <v>0</v>
      </c>
      <c r="P118" s="32">
        <f>+P76*P31</f>
        <v>0</v>
      </c>
      <c r="Q118" s="15">
        <f t="shared" si="36"/>
        <v>727756.1820000001</v>
      </c>
      <c r="R118" s="6"/>
      <c r="S118" s="6"/>
    </row>
    <row r="119" spans="1:19" ht="12.75">
      <c r="A119" s="6" t="s">
        <v>7</v>
      </c>
      <c r="B119" s="6" t="s">
        <v>88</v>
      </c>
      <c r="C119" s="6"/>
      <c r="D119" s="6"/>
      <c r="E119" s="15"/>
      <c r="F119" s="32">
        <f t="shared" si="40"/>
        <v>0</v>
      </c>
      <c r="G119" s="32">
        <f t="shared" si="40"/>
        <v>0</v>
      </c>
      <c r="H119" s="38">
        <f t="shared" si="40"/>
        <v>0</v>
      </c>
      <c r="I119" s="38">
        <f t="shared" si="40"/>
        <v>625039.844</v>
      </c>
      <c r="J119" s="32">
        <f t="shared" si="40"/>
        <v>0</v>
      </c>
      <c r="K119" s="32">
        <f t="shared" si="40"/>
        <v>0</v>
      </c>
      <c r="L119" s="32">
        <f t="shared" si="40"/>
        <v>0</v>
      </c>
      <c r="M119" s="32">
        <f t="shared" si="40"/>
        <v>0</v>
      </c>
      <c r="N119" s="15"/>
      <c r="O119" s="15"/>
      <c r="P119" s="15"/>
      <c r="Q119" s="15">
        <f t="shared" si="36"/>
        <v>625039.844</v>
      </c>
      <c r="R119" s="6"/>
      <c r="S119" s="6"/>
    </row>
    <row r="120" spans="1:19" ht="12.75">
      <c r="A120" s="6" t="s">
        <v>7</v>
      </c>
      <c r="B120" s="6" t="s">
        <v>89</v>
      </c>
      <c r="C120" s="6"/>
      <c r="D120" s="6"/>
      <c r="E120" s="15"/>
      <c r="F120" s="32">
        <f t="shared" si="40"/>
        <v>0</v>
      </c>
      <c r="G120" s="32">
        <f t="shared" si="40"/>
        <v>0</v>
      </c>
      <c r="H120" s="38">
        <f t="shared" si="40"/>
        <v>668367</v>
      </c>
      <c r="I120" s="38">
        <f t="shared" si="40"/>
        <v>0</v>
      </c>
      <c r="J120" s="32">
        <f t="shared" si="40"/>
        <v>0</v>
      </c>
      <c r="K120" s="32">
        <f t="shared" si="40"/>
        <v>0</v>
      </c>
      <c r="L120" s="32">
        <f t="shared" si="40"/>
        <v>0</v>
      </c>
      <c r="M120" s="32">
        <f t="shared" si="40"/>
        <v>0</v>
      </c>
      <c r="N120" s="15"/>
      <c r="O120" s="15"/>
      <c r="P120" s="15"/>
      <c r="Q120" s="15">
        <f t="shared" si="36"/>
        <v>668367</v>
      </c>
      <c r="R120" s="6"/>
      <c r="S120" s="6"/>
    </row>
    <row r="121" spans="1:19" ht="12.75">
      <c r="A121" s="6" t="s">
        <v>7</v>
      </c>
      <c r="B121" s="6" t="s">
        <v>90</v>
      </c>
      <c r="C121" s="6"/>
      <c r="D121" s="6"/>
      <c r="E121" s="15"/>
      <c r="F121" s="32">
        <f t="shared" si="40"/>
        <v>0</v>
      </c>
      <c r="G121" s="32">
        <f t="shared" si="40"/>
        <v>0</v>
      </c>
      <c r="H121" s="38">
        <f t="shared" si="40"/>
        <v>0</v>
      </c>
      <c r="I121" s="38">
        <f t="shared" si="40"/>
        <v>3038873.787</v>
      </c>
      <c r="J121" s="32">
        <f t="shared" si="40"/>
        <v>0</v>
      </c>
      <c r="K121" s="32">
        <f t="shared" si="40"/>
        <v>0</v>
      </c>
      <c r="L121" s="32">
        <f t="shared" si="40"/>
        <v>0</v>
      </c>
      <c r="M121" s="32">
        <f t="shared" si="40"/>
        <v>0</v>
      </c>
      <c r="N121" s="15"/>
      <c r="O121" s="15"/>
      <c r="P121" s="15"/>
      <c r="Q121" s="15">
        <f t="shared" si="36"/>
        <v>3038873.787</v>
      </c>
      <c r="R121" s="6"/>
      <c r="S121" s="6"/>
    </row>
    <row r="122" spans="1:19" ht="12.75">
      <c r="A122" s="6"/>
      <c r="B122" s="6"/>
      <c r="C122" s="6"/>
      <c r="D122" s="6"/>
      <c r="E122" s="15"/>
      <c r="F122" s="32"/>
      <c r="G122" s="38"/>
      <c r="H122" s="38"/>
      <c r="I122" s="38"/>
      <c r="J122" s="38"/>
      <c r="K122" s="38"/>
      <c r="L122" s="32"/>
      <c r="M122" s="32"/>
      <c r="N122" s="15"/>
      <c r="O122" s="15"/>
      <c r="P122" s="15"/>
      <c r="Q122" s="15"/>
      <c r="R122" s="6"/>
      <c r="S122" s="6"/>
    </row>
    <row r="123" spans="1:19" ht="12.75">
      <c r="A123" s="6" t="s">
        <v>7</v>
      </c>
      <c r="B123" s="6" t="s">
        <v>91</v>
      </c>
      <c r="C123" s="6"/>
      <c r="D123" s="6"/>
      <c r="E123" s="15"/>
      <c r="F123" s="32">
        <f aca="true" t="shared" si="41" ref="F123:M125">+F81*F36</f>
        <v>0</v>
      </c>
      <c r="G123" s="32">
        <f t="shared" si="41"/>
        <v>0</v>
      </c>
      <c r="H123" s="38">
        <f t="shared" si="41"/>
        <v>634948.6499999999</v>
      </c>
      <c r="I123" s="38">
        <f t="shared" si="41"/>
        <v>0</v>
      </c>
      <c r="J123" s="32">
        <f t="shared" si="41"/>
        <v>0</v>
      </c>
      <c r="K123" s="32">
        <f t="shared" si="41"/>
        <v>0</v>
      </c>
      <c r="L123" s="32">
        <f t="shared" si="41"/>
        <v>0</v>
      </c>
      <c r="M123" s="32">
        <f t="shared" si="41"/>
        <v>0</v>
      </c>
      <c r="N123" s="15"/>
      <c r="O123" s="15"/>
      <c r="P123" s="15"/>
      <c r="Q123" s="15">
        <f t="shared" si="36"/>
        <v>634948.6499999999</v>
      </c>
      <c r="R123" s="6"/>
      <c r="S123" s="6"/>
    </row>
    <row r="124" spans="1:19" ht="12.75">
      <c r="A124" s="6" t="s">
        <v>7</v>
      </c>
      <c r="B124" s="6" t="s">
        <v>92</v>
      </c>
      <c r="C124" s="6"/>
      <c r="D124" s="6"/>
      <c r="E124" s="15"/>
      <c r="F124" s="32">
        <f t="shared" si="41"/>
        <v>0</v>
      </c>
      <c r="G124" s="32">
        <f t="shared" si="41"/>
        <v>0</v>
      </c>
      <c r="H124" s="38">
        <f t="shared" si="41"/>
        <v>0</v>
      </c>
      <c r="I124" s="38">
        <f t="shared" si="41"/>
        <v>1070872.46</v>
      </c>
      <c r="J124" s="32">
        <f t="shared" si="41"/>
        <v>0</v>
      </c>
      <c r="K124" s="32">
        <f t="shared" si="41"/>
        <v>0</v>
      </c>
      <c r="L124" s="32">
        <f t="shared" si="41"/>
        <v>0</v>
      </c>
      <c r="M124" s="32">
        <f t="shared" si="41"/>
        <v>0</v>
      </c>
      <c r="N124" s="32">
        <f aca="true" t="shared" si="42" ref="N124:P125">+N82*N37</f>
        <v>0</v>
      </c>
      <c r="O124" s="32">
        <f t="shared" si="42"/>
        <v>0</v>
      </c>
      <c r="P124" s="32">
        <f t="shared" si="42"/>
        <v>0</v>
      </c>
      <c r="Q124" s="15">
        <f t="shared" si="36"/>
        <v>1070872.46</v>
      </c>
      <c r="R124" s="6"/>
      <c r="S124" s="6"/>
    </row>
    <row r="125" spans="1:19" ht="12.75">
      <c r="A125" s="6" t="s">
        <v>7</v>
      </c>
      <c r="B125" s="6" t="s">
        <v>93</v>
      </c>
      <c r="C125" s="6"/>
      <c r="D125" s="6"/>
      <c r="E125" s="15"/>
      <c r="F125" s="32">
        <f t="shared" si="41"/>
        <v>0</v>
      </c>
      <c r="G125" s="32">
        <f t="shared" si="41"/>
        <v>0</v>
      </c>
      <c r="H125" s="38">
        <f t="shared" si="41"/>
        <v>0</v>
      </c>
      <c r="I125" s="38">
        <f t="shared" si="41"/>
        <v>1288325.1330000001</v>
      </c>
      <c r="J125" s="32">
        <f t="shared" si="41"/>
        <v>0</v>
      </c>
      <c r="K125" s="32">
        <f t="shared" si="41"/>
        <v>0</v>
      </c>
      <c r="L125" s="32">
        <f t="shared" si="41"/>
        <v>0</v>
      </c>
      <c r="M125" s="32">
        <f t="shared" si="41"/>
        <v>0</v>
      </c>
      <c r="N125" s="32">
        <f t="shared" si="42"/>
        <v>0</v>
      </c>
      <c r="O125" s="32">
        <f t="shared" si="42"/>
        <v>0</v>
      </c>
      <c r="P125" s="32">
        <f t="shared" si="42"/>
        <v>0</v>
      </c>
      <c r="Q125" s="15">
        <f t="shared" si="36"/>
        <v>1288325.1330000001</v>
      </c>
      <c r="R125" s="6"/>
      <c r="S125" s="6"/>
    </row>
    <row r="126" spans="1:19" ht="12.75">
      <c r="A126" s="6"/>
      <c r="B126" s="6"/>
      <c r="C126" s="6"/>
      <c r="D126" s="6"/>
      <c r="E126" s="15"/>
      <c r="F126" s="32"/>
      <c r="G126" s="32"/>
      <c r="H126" s="38"/>
      <c r="I126" s="38"/>
      <c r="J126" s="32"/>
      <c r="K126" s="32"/>
      <c r="L126" s="32"/>
      <c r="M126" s="32"/>
      <c r="N126" s="32"/>
      <c r="O126" s="32"/>
      <c r="P126" s="32"/>
      <c r="Q126" s="15"/>
      <c r="R126" s="6"/>
      <c r="S126" s="6"/>
    </row>
    <row r="127" spans="1:19" ht="12.75">
      <c r="A127" s="6" t="s">
        <v>7</v>
      </c>
      <c r="B127" s="6" t="s">
        <v>31</v>
      </c>
      <c r="C127" s="6"/>
      <c r="D127" s="6"/>
      <c r="E127" s="15"/>
      <c r="F127" s="32">
        <f>+F85*F40</f>
        <v>0</v>
      </c>
      <c r="G127" s="32">
        <f aca="true" t="shared" si="43" ref="G127:P127">+G85*G40</f>
        <v>0</v>
      </c>
      <c r="H127" s="32">
        <f t="shared" si="43"/>
        <v>0</v>
      </c>
      <c r="I127" s="32">
        <f t="shared" si="43"/>
        <v>0</v>
      </c>
      <c r="J127" s="56">
        <f t="shared" si="43"/>
        <v>1772676.3757500001</v>
      </c>
      <c r="K127" s="55">
        <f t="shared" si="43"/>
        <v>0</v>
      </c>
      <c r="L127" s="32">
        <f t="shared" si="43"/>
        <v>0</v>
      </c>
      <c r="M127" s="32">
        <f t="shared" si="43"/>
        <v>0</v>
      </c>
      <c r="N127" s="32">
        <f t="shared" si="43"/>
        <v>0</v>
      </c>
      <c r="O127" s="32">
        <f t="shared" si="43"/>
        <v>0</v>
      </c>
      <c r="P127" s="32">
        <f t="shared" si="43"/>
        <v>0</v>
      </c>
      <c r="Q127" s="15">
        <f t="shared" si="36"/>
        <v>1772676.3757500001</v>
      </c>
      <c r="R127" s="6"/>
      <c r="S127" s="6"/>
    </row>
    <row r="128" spans="1:19" ht="12.75">
      <c r="A128" s="6"/>
      <c r="B128" s="6"/>
      <c r="C128" s="6"/>
      <c r="D128" s="6"/>
      <c r="E128" s="15"/>
      <c r="F128" s="32"/>
      <c r="G128" s="32"/>
      <c r="H128" s="38"/>
      <c r="I128" s="38"/>
      <c r="J128" s="55"/>
      <c r="K128" s="55"/>
      <c r="L128" s="32"/>
      <c r="M128" s="32"/>
      <c r="N128" s="32"/>
      <c r="O128" s="32"/>
      <c r="P128" s="32"/>
      <c r="Q128" s="15"/>
      <c r="R128" s="6"/>
      <c r="S128" s="6"/>
    </row>
    <row r="129" spans="1:19" ht="12.75">
      <c r="A129" s="6" t="s">
        <v>7</v>
      </c>
      <c r="B129" s="6" t="s">
        <v>32</v>
      </c>
      <c r="C129" s="6"/>
      <c r="D129" s="6"/>
      <c r="E129" s="15"/>
      <c r="F129" s="32">
        <f aca="true" t="shared" si="44" ref="F129:P129">+F87*F42</f>
        <v>0</v>
      </c>
      <c r="G129" s="32">
        <f t="shared" si="44"/>
        <v>0</v>
      </c>
      <c r="H129" s="32">
        <f t="shared" si="44"/>
        <v>0</v>
      </c>
      <c r="I129" s="32">
        <f t="shared" si="44"/>
        <v>0</v>
      </c>
      <c r="J129" s="56">
        <f t="shared" si="44"/>
        <v>0</v>
      </c>
      <c r="K129" s="56">
        <f t="shared" si="44"/>
        <v>1166519.537264375</v>
      </c>
      <c r="L129" s="32">
        <f t="shared" si="44"/>
        <v>0</v>
      </c>
      <c r="M129" s="32">
        <f t="shared" si="44"/>
        <v>0</v>
      </c>
      <c r="N129" s="32">
        <f t="shared" si="44"/>
        <v>0</v>
      </c>
      <c r="O129" s="32">
        <f t="shared" si="44"/>
        <v>0</v>
      </c>
      <c r="P129" s="32">
        <f t="shared" si="44"/>
        <v>0</v>
      </c>
      <c r="Q129" s="15">
        <f t="shared" si="36"/>
        <v>1166519.537264375</v>
      </c>
      <c r="R129" s="6"/>
      <c r="S129" s="6"/>
    </row>
    <row r="130" spans="1:19" ht="12.75">
      <c r="A130" s="6"/>
      <c r="B130" s="6"/>
      <c r="C130" s="6"/>
      <c r="D130" s="6"/>
      <c r="E130" s="15"/>
      <c r="F130" s="32"/>
      <c r="G130" s="32"/>
      <c r="H130" s="38"/>
      <c r="I130" s="38"/>
      <c r="J130" s="56"/>
      <c r="K130" s="56"/>
      <c r="L130" s="32"/>
      <c r="M130" s="32"/>
      <c r="N130" s="32"/>
      <c r="O130" s="32"/>
      <c r="P130" s="32"/>
      <c r="Q130" s="15"/>
      <c r="R130" s="6"/>
      <c r="S130" s="6"/>
    </row>
    <row r="131" spans="1:19" ht="12.75">
      <c r="A131" s="6" t="s">
        <v>7</v>
      </c>
      <c r="B131" s="6" t="s">
        <v>51</v>
      </c>
      <c r="C131" s="6"/>
      <c r="D131" s="6"/>
      <c r="E131" s="15"/>
      <c r="F131" s="32">
        <f aca="true" t="shared" si="45" ref="F131:M131">+F89*F44</f>
        <v>0</v>
      </c>
      <c r="G131" s="32">
        <f t="shared" si="45"/>
        <v>0</v>
      </c>
      <c r="H131" s="32">
        <f t="shared" si="45"/>
        <v>0</v>
      </c>
      <c r="I131" s="32">
        <f t="shared" si="45"/>
        <v>0</v>
      </c>
      <c r="J131" s="56">
        <f t="shared" si="45"/>
        <v>765345.9907999999</v>
      </c>
      <c r="K131" s="56">
        <f t="shared" si="45"/>
        <v>0</v>
      </c>
      <c r="L131" s="32">
        <f t="shared" si="45"/>
        <v>0</v>
      </c>
      <c r="M131" s="32">
        <f t="shared" si="45"/>
        <v>0</v>
      </c>
      <c r="N131" s="32"/>
      <c r="O131" s="32"/>
      <c r="P131" s="32"/>
      <c r="Q131" s="15">
        <f t="shared" si="36"/>
        <v>765345.9907999999</v>
      </c>
      <c r="R131" s="6"/>
      <c r="S131" s="6"/>
    </row>
    <row r="132" spans="1:19" ht="12.75">
      <c r="A132" s="6"/>
      <c r="B132" s="6"/>
      <c r="C132" s="6"/>
      <c r="D132" s="6"/>
      <c r="E132" s="15"/>
      <c r="F132" s="32"/>
      <c r="G132" s="32"/>
      <c r="H132" s="38"/>
      <c r="I132" s="38"/>
      <c r="J132" s="56"/>
      <c r="K132" s="56"/>
      <c r="L132" s="32"/>
      <c r="M132" s="32"/>
      <c r="N132" s="32"/>
      <c r="O132" s="32"/>
      <c r="P132" s="32"/>
      <c r="Q132" s="15"/>
      <c r="R132" s="6"/>
      <c r="S132" s="6"/>
    </row>
    <row r="133" spans="1:19" ht="12.75">
      <c r="A133" s="6" t="s">
        <v>7</v>
      </c>
      <c r="B133" s="6" t="s">
        <v>52</v>
      </c>
      <c r="C133" s="6"/>
      <c r="D133" s="6"/>
      <c r="E133" s="15"/>
      <c r="F133" s="32">
        <f aca="true" t="shared" si="46" ref="F133:P133">+F91*F46</f>
        <v>0</v>
      </c>
      <c r="G133" s="32">
        <f t="shared" si="46"/>
        <v>0</v>
      </c>
      <c r="H133" s="32">
        <f t="shared" si="46"/>
        <v>0</v>
      </c>
      <c r="I133" s="32">
        <f t="shared" si="46"/>
        <v>0</v>
      </c>
      <c r="J133" s="56">
        <f t="shared" si="46"/>
        <v>1800814.096</v>
      </c>
      <c r="K133" s="56">
        <f t="shared" si="46"/>
        <v>0</v>
      </c>
      <c r="L133" s="32">
        <f t="shared" si="46"/>
        <v>0</v>
      </c>
      <c r="M133" s="32">
        <f t="shared" si="46"/>
        <v>0</v>
      </c>
      <c r="N133" s="32">
        <f t="shared" si="46"/>
        <v>0</v>
      </c>
      <c r="O133" s="32">
        <f t="shared" si="46"/>
        <v>0</v>
      </c>
      <c r="P133" s="32">
        <f t="shared" si="46"/>
        <v>0</v>
      </c>
      <c r="Q133" s="15">
        <f t="shared" si="36"/>
        <v>1800814.096</v>
      </c>
      <c r="R133" s="6"/>
      <c r="S133" s="6"/>
    </row>
    <row r="134" spans="1:19" ht="12.75">
      <c r="A134" s="6"/>
      <c r="B134" s="6"/>
      <c r="C134" s="6"/>
      <c r="D134" s="6"/>
      <c r="E134" s="22"/>
      <c r="F134" s="51"/>
      <c r="G134" s="52"/>
      <c r="H134" s="52"/>
      <c r="I134" s="52"/>
      <c r="J134" s="52"/>
      <c r="K134" s="53"/>
      <c r="L134" s="51"/>
      <c r="M134" s="51"/>
      <c r="N134" s="22"/>
      <c r="O134" s="22"/>
      <c r="P134" s="22"/>
      <c r="Q134" s="22"/>
      <c r="R134" s="6"/>
      <c r="S134" s="6"/>
    </row>
    <row r="135" spans="1:19" s="3" customFormat="1" ht="12.75">
      <c r="A135" s="6" t="s">
        <v>10</v>
      </c>
      <c r="B135" s="6"/>
      <c r="C135" s="6"/>
      <c r="D135" s="6"/>
      <c r="E135" s="15"/>
      <c r="F135" s="15">
        <f aca="true" t="shared" si="47" ref="F135:P135">SUM(F98:F134)</f>
        <v>9000000</v>
      </c>
      <c r="G135" s="15">
        <f t="shared" si="47"/>
        <v>3852540</v>
      </c>
      <c r="H135" s="15">
        <f t="shared" si="47"/>
        <v>9870360.249999998</v>
      </c>
      <c r="I135" s="15">
        <f t="shared" si="47"/>
        <v>13365481.7455</v>
      </c>
      <c r="J135" s="15">
        <f t="shared" si="47"/>
        <v>4890898.5338550005</v>
      </c>
      <c r="K135" s="15">
        <f t="shared" si="47"/>
        <v>1166519.537264375</v>
      </c>
      <c r="L135" s="15">
        <f t="shared" si="47"/>
        <v>0</v>
      </c>
      <c r="M135" s="15">
        <f t="shared" si="47"/>
        <v>0</v>
      </c>
      <c r="N135" s="15">
        <f t="shared" si="47"/>
        <v>0</v>
      </c>
      <c r="O135" s="15">
        <f t="shared" si="47"/>
        <v>0</v>
      </c>
      <c r="P135" s="15">
        <f t="shared" si="47"/>
        <v>0</v>
      </c>
      <c r="Q135" s="15">
        <f t="shared" si="36"/>
        <v>42145800.066619374</v>
      </c>
      <c r="R135" s="6"/>
      <c r="S135" s="6"/>
    </row>
    <row r="136" spans="1:19" ht="12.75">
      <c r="A136" s="6" t="s">
        <v>1</v>
      </c>
      <c r="B136" s="6"/>
      <c r="C136" s="6"/>
      <c r="D136" s="6"/>
      <c r="E136" s="39"/>
      <c r="F136" s="39">
        <f aca="true" t="shared" si="48" ref="F136:P136">-F55*F135</f>
        <v>-540000</v>
      </c>
      <c r="G136" s="39">
        <f t="shared" si="48"/>
        <v>-231152.4</v>
      </c>
      <c r="H136" s="39">
        <f t="shared" si="48"/>
        <v>-592221.6149999999</v>
      </c>
      <c r="I136" s="39">
        <f t="shared" si="48"/>
        <v>-801928.90473</v>
      </c>
      <c r="J136" s="39">
        <f t="shared" si="48"/>
        <v>-293453.9120313</v>
      </c>
      <c r="K136" s="39">
        <f t="shared" si="48"/>
        <v>-69991.1722358625</v>
      </c>
      <c r="L136" s="39">
        <f t="shared" si="48"/>
        <v>0</v>
      </c>
      <c r="M136" s="39">
        <f t="shared" si="48"/>
        <v>0</v>
      </c>
      <c r="N136" s="39">
        <f t="shared" si="48"/>
        <v>0</v>
      </c>
      <c r="O136" s="39">
        <f t="shared" si="48"/>
        <v>0</v>
      </c>
      <c r="P136" s="39">
        <f t="shared" si="48"/>
        <v>0</v>
      </c>
      <c r="Q136" s="39">
        <f t="shared" si="36"/>
        <v>-2528748.003997162</v>
      </c>
      <c r="R136" s="6"/>
      <c r="S136" s="6"/>
    </row>
    <row r="137" spans="1:19" s="3" customFormat="1" ht="12.75">
      <c r="A137" s="6" t="s">
        <v>11</v>
      </c>
      <c r="B137" s="6"/>
      <c r="C137" s="6"/>
      <c r="D137" s="6"/>
      <c r="E137" s="15"/>
      <c r="F137" s="15">
        <f aca="true" t="shared" si="49" ref="F137:P137">SUM(F135:F136)</f>
        <v>8460000</v>
      </c>
      <c r="G137" s="15">
        <f t="shared" si="49"/>
        <v>3621387.6</v>
      </c>
      <c r="H137" s="15">
        <f t="shared" si="49"/>
        <v>9278138.634999998</v>
      </c>
      <c r="I137" s="15">
        <f t="shared" si="49"/>
        <v>12563552.84077</v>
      </c>
      <c r="J137" s="15">
        <f t="shared" si="49"/>
        <v>4597444.6218237</v>
      </c>
      <c r="K137" s="15">
        <f t="shared" si="49"/>
        <v>1096528.3650285124</v>
      </c>
      <c r="L137" s="15">
        <f t="shared" si="49"/>
        <v>0</v>
      </c>
      <c r="M137" s="15">
        <f t="shared" si="49"/>
        <v>0</v>
      </c>
      <c r="N137" s="15">
        <f t="shared" si="49"/>
        <v>0</v>
      </c>
      <c r="O137" s="15">
        <f t="shared" si="49"/>
        <v>0</v>
      </c>
      <c r="P137" s="15">
        <f t="shared" si="49"/>
        <v>0</v>
      </c>
      <c r="Q137" s="15">
        <f t="shared" si="36"/>
        <v>39617052.06262221</v>
      </c>
      <c r="R137" s="6"/>
      <c r="S137" s="6"/>
    </row>
    <row r="138" spans="1:19" ht="12.75">
      <c r="A138" s="6"/>
      <c r="B138" s="6"/>
      <c r="C138" s="6"/>
      <c r="D138" s="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6"/>
      <c r="S138" s="6"/>
    </row>
    <row r="139" spans="1:19" s="3" customFormat="1" ht="12.75">
      <c r="A139" s="19" t="s">
        <v>12</v>
      </c>
      <c r="B139" s="6"/>
      <c r="C139" s="6"/>
      <c r="D139" s="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6"/>
      <c r="S139" s="6"/>
    </row>
    <row r="140" spans="1:19" ht="12.75">
      <c r="A140" s="6" t="s">
        <v>13</v>
      </c>
      <c r="B140" s="21"/>
      <c r="C140" s="6"/>
      <c r="D140" s="6"/>
      <c r="E140" s="15"/>
      <c r="F140" s="15">
        <f>-F51*F93</f>
        <v>-88860.00000000003</v>
      </c>
      <c r="G140" s="15">
        <f aca="true" t="shared" si="50" ref="G140:P140">-G51*G93</f>
        <v>-85104.72000000003</v>
      </c>
      <c r="H140" s="15">
        <f t="shared" si="50"/>
        <v>-69353.06400000003</v>
      </c>
      <c r="I140" s="15">
        <f t="shared" si="50"/>
        <v>-36618.00000000006</v>
      </c>
      <c r="J140" s="15">
        <f t="shared" si="50"/>
        <v>-9970.500000000075</v>
      </c>
      <c r="K140" s="15">
        <f t="shared" si="50"/>
        <v>0</v>
      </c>
      <c r="L140" s="15">
        <f t="shared" si="50"/>
        <v>0</v>
      </c>
      <c r="M140" s="15">
        <f t="shared" si="50"/>
        <v>0</v>
      </c>
      <c r="N140" s="15">
        <f t="shared" si="50"/>
        <v>0</v>
      </c>
      <c r="O140" s="15">
        <f t="shared" si="50"/>
        <v>0</v>
      </c>
      <c r="P140" s="15">
        <f t="shared" si="50"/>
        <v>0</v>
      </c>
      <c r="Q140" s="15">
        <f>+P140+O140+N140+M140+L140+K140+J140+I140+H140+G140+F140+E140</f>
        <v>-289906.2840000002</v>
      </c>
      <c r="R140" s="6"/>
      <c r="S140" s="6"/>
    </row>
    <row r="141" spans="1:19" s="3" customFormat="1" ht="12.75">
      <c r="A141" s="6" t="s">
        <v>14</v>
      </c>
      <c r="B141" s="6"/>
      <c r="C141" s="6"/>
      <c r="D141" s="6"/>
      <c r="E141" s="29"/>
      <c r="F141" s="15">
        <v>-5000</v>
      </c>
      <c r="G141" s="15">
        <v>-5000</v>
      </c>
      <c r="H141" s="15">
        <v>-5000</v>
      </c>
      <c r="I141" s="15">
        <v>-5000</v>
      </c>
      <c r="J141" s="15">
        <v>-5000</v>
      </c>
      <c r="K141" s="15">
        <v>-5000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f>+O141+N141+M141+L141+K141+J141+I141+H141+G141+F141+E141</f>
        <v>-30000</v>
      </c>
      <c r="R141" s="6"/>
      <c r="S141" s="6"/>
    </row>
    <row r="142" spans="1:19" ht="12.75">
      <c r="A142" s="6" t="s">
        <v>15</v>
      </c>
      <c r="B142" s="6"/>
      <c r="C142" s="6"/>
      <c r="D142" s="6"/>
      <c r="E142" s="20"/>
      <c r="F142" s="20">
        <v>-20000</v>
      </c>
      <c r="G142" s="20">
        <v>-20000</v>
      </c>
      <c r="H142" s="20">
        <v>-20000</v>
      </c>
      <c r="I142" s="20">
        <v>-20000</v>
      </c>
      <c r="J142" s="20">
        <v>-20000</v>
      </c>
      <c r="K142" s="20">
        <v>-20000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15">
        <f>+P142+O142+N142+M142+L142+K142+J142+I142+H142++G142+F142+E142</f>
        <v>-120000</v>
      </c>
      <c r="R142" s="6"/>
      <c r="S142" s="6"/>
    </row>
    <row r="143" spans="1:19" s="3" customFormat="1" ht="12.75">
      <c r="A143" s="6" t="s">
        <v>16</v>
      </c>
      <c r="B143" s="6"/>
      <c r="C143" s="6"/>
      <c r="D143" s="6"/>
      <c r="E143" s="15"/>
      <c r="F143" s="15">
        <f aca="true" t="shared" si="51" ref="F143:P143">SUM(F140:F142)</f>
        <v>-113860.00000000003</v>
      </c>
      <c r="G143" s="15">
        <f t="shared" si="51"/>
        <v>-110104.72000000003</v>
      </c>
      <c r="H143" s="15">
        <f t="shared" si="51"/>
        <v>-94353.06400000003</v>
      </c>
      <c r="I143" s="15">
        <f t="shared" si="51"/>
        <v>-61618.00000000006</v>
      </c>
      <c r="J143" s="15">
        <f t="shared" si="51"/>
        <v>-34970.50000000007</v>
      </c>
      <c r="K143" s="15">
        <f t="shared" si="51"/>
        <v>-25000</v>
      </c>
      <c r="L143" s="15">
        <f t="shared" si="51"/>
        <v>0</v>
      </c>
      <c r="M143" s="15">
        <f t="shared" si="51"/>
        <v>0</v>
      </c>
      <c r="N143" s="15">
        <f t="shared" si="51"/>
        <v>0</v>
      </c>
      <c r="O143" s="15">
        <f t="shared" si="51"/>
        <v>0</v>
      </c>
      <c r="P143" s="15">
        <f t="shared" si="51"/>
        <v>0</v>
      </c>
      <c r="Q143" s="15">
        <f>+P143+O143+N143+M143+L143+K143+J143+I143+H143+G143+F143+E143</f>
        <v>-439906.2840000002</v>
      </c>
      <c r="R143" s="6"/>
      <c r="S143" s="6"/>
    </row>
    <row r="144" spans="1:19" ht="12.75">
      <c r="A144" s="6"/>
      <c r="B144" s="6"/>
      <c r="C144" s="6"/>
      <c r="D144" s="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6"/>
      <c r="S144" s="6"/>
    </row>
    <row r="145" spans="1:19" ht="12.75">
      <c r="A145" s="6"/>
      <c r="B145" s="6"/>
      <c r="C145" s="6"/>
      <c r="D145" s="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6"/>
      <c r="S145" s="6"/>
    </row>
    <row r="146" spans="1:19" s="3" customFormat="1" ht="12.75">
      <c r="A146" s="19" t="s">
        <v>17</v>
      </c>
      <c r="B146" s="6"/>
      <c r="C146" s="6"/>
      <c r="D146" s="6"/>
      <c r="E146" s="41" t="s">
        <v>25</v>
      </c>
      <c r="F146" s="27">
        <v>0</v>
      </c>
      <c r="G146" s="27">
        <f aca="true" t="shared" si="52" ref="G146:P146">F146+1</f>
        <v>1</v>
      </c>
      <c r="H146" s="27">
        <f t="shared" si="52"/>
        <v>2</v>
      </c>
      <c r="I146" s="27">
        <f t="shared" si="52"/>
        <v>3</v>
      </c>
      <c r="J146" s="27">
        <f t="shared" si="52"/>
        <v>4</v>
      </c>
      <c r="K146" s="27">
        <f t="shared" si="52"/>
        <v>5</v>
      </c>
      <c r="L146" s="27">
        <f t="shared" si="52"/>
        <v>6</v>
      </c>
      <c r="M146" s="27">
        <f t="shared" si="52"/>
        <v>7</v>
      </c>
      <c r="N146" s="27">
        <f t="shared" si="52"/>
        <v>8</v>
      </c>
      <c r="O146" s="27">
        <f t="shared" si="52"/>
        <v>9</v>
      </c>
      <c r="P146" s="27">
        <f t="shared" si="52"/>
        <v>10</v>
      </c>
      <c r="Q146" s="13" t="s">
        <v>3</v>
      </c>
      <c r="R146" s="6"/>
      <c r="S146" s="6"/>
    </row>
    <row r="147" spans="1:19" ht="12.75">
      <c r="A147" s="6" t="s">
        <v>18</v>
      </c>
      <c r="B147" s="6"/>
      <c r="C147" s="6"/>
      <c r="D147" s="6"/>
      <c r="E147" s="57">
        <v>-10000000</v>
      </c>
      <c r="F147" s="15">
        <v>-10000000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f>SUM(F147:M147)</f>
        <v>-10000000</v>
      </c>
      <c r="R147" s="6"/>
      <c r="S147" s="6"/>
    </row>
    <row r="148" spans="1:19" ht="12.75">
      <c r="A148" s="6"/>
      <c r="B148" s="6"/>
      <c r="C148" s="6"/>
      <c r="D148" s="6"/>
      <c r="E148" s="58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6"/>
      <c r="S148" s="6"/>
    </row>
    <row r="149" spans="1:19" s="3" customFormat="1" ht="12.75">
      <c r="A149" s="9" t="s">
        <v>33</v>
      </c>
      <c r="B149" s="6"/>
      <c r="C149" s="6"/>
      <c r="D149" s="6"/>
      <c r="E149" s="58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6"/>
      <c r="S149" s="6"/>
    </row>
    <row r="150" spans="1:19" ht="12.75">
      <c r="A150" s="6" t="s">
        <v>34</v>
      </c>
      <c r="B150" s="6"/>
      <c r="C150" s="6"/>
      <c r="D150" s="6"/>
      <c r="E150" s="58">
        <v>-789750</v>
      </c>
      <c r="F150" s="44">
        <v>0</v>
      </c>
      <c r="G150" s="15">
        <v>-300000</v>
      </c>
      <c r="H150" s="15">
        <v>-300000</v>
      </c>
      <c r="I150" s="15">
        <v>-189750</v>
      </c>
      <c r="J150" s="15"/>
      <c r="K150" s="15"/>
      <c r="L150" s="15"/>
      <c r="M150" s="15"/>
      <c r="N150" s="15">
        <v>0</v>
      </c>
      <c r="O150" s="15">
        <v>0</v>
      </c>
      <c r="P150" s="15">
        <v>0</v>
      </c>
      <c r="Q150" s="15">
        <f>SUM(G150:M150)</f>
        <v>-789750</v>
      </c>
      <c r="R150" s="6"/>
      <c r="S150" s="6"/>
    </row>
    <row r="151" spans="1:19" s="2" customFormat="1" ht="12.75">
      <c r="A151" s="23" t="s">
        <v>35</v>
      </c>
      <c r="B151" s="24"/>
      <c r="C151" s="24"/>
      <c r="D151" s="24"/>
      <c r="E151" s="58">
        <v>-400000</v>
      </c>
      <c r="F151" s="32">
        <v>0</v>
      </c>
      <c r="G151" s="15">
        <v>-150000</v>
      </c>
      <c r="H151" s="15">
        <v>-150000</v>
      </c>
      <c r="I151" s="15">
        <v>-100000</v>
      </c>
      <c r="J151" s="15"/>
      <c r="K151" s="15"/>
      <c r="L151" s="15"/>
      <c r="M151" s="15"/>
      <c r="N151" s="15"/>
      <c r="O151" s="15"/>
      <c r="P151" s="15"/>
      <c r="Q151" s="15">
        <f>SUM(G151:M151)</f>
        <v>-400000</v>
      </c>
      <c r="R151" s="24"/>
      <c r="S151" s="24"/>
    </row>
    <row r="152" spans="1:19" s="4" customFormat="1" ht="12.75">
      <c r="A152" s="23" t="s">
        <v>36</v>
      </c>
      <c r="B152" s="24"/>
      <c r="C152" s="24"/>
      <c r="D152" s="24"/>
      <c r="E152" s="58">
        <v>-468750</v>
      </c>
      <c r="F152" s="32">
        <v>0</v>
      </c>
      <c r="G152" s="15">
        <v>-200000</v>
      </c>
      <c r="H152" s="15">
        <v>-134000</v>
      </c>
      <c r="I152" s="15">
        <v>-134750</v>
      </c>
      <c r="J152" s="15"/>
      <c r="K152" s="15"/>
      <c r="L152" s="15"/>
      <c r="M152" s="15"/>
      <c r="N152" s="15"/>
      <c r="O152" s="15"/>
      <c r="P152" s="15"/>
      <c r="Q152" s="15">
        <f>SUM(G152:M152)</f>
        <v>-468750</v>
      </c>
      <c r="R152" s="24"/>
      <c r="S152" s="24"/>
    </row>
    <row r="153" spans="1:19" s="2" customFormat="1" ht="12.75">
      <c r="A153" s="23" t="s">
        <v>37</v>
      </c>
      <c r="B153" s="24"/>
      <c r="C153" s="24"/>
      <c r="D153" s="24"/>
      <c r="E153" s="58">
        <v>-3562500</v>
      </c>
      <c r="F153" s="32">
        <v>0</v>
      </c>
      <c r="G153" s="15">
        <v>-1500000</v>
      </c>
      <c r="H153" s="15">
        <f>-3562500+2500000</f>
        <v>-1062500</v>
      </c>
      <c r="I153" s="15">
        <v>-1000000</v>
      </c>
      <c r="J153" s="15"/>
      <c r="K153" s="15"/>
      <c r="L153" s="15"/>
      <c r="M153" s="15"/>
      <c r="N153" s="15"/>
      <c r="O153" s="15"/>
      <c r="P153" s="15"/>
      <c r="Q153" s="15">
        <f>SUM(G153:M153)</f>
        <v>-3562500</v>
      </c>
      <c r="R153" s="24"/>
      <c r="S153" s="24"/>
    </row>
    <row r="154" spans="1:19" s="2" customFormat="1" ht="12.75">
      <c r="A154" s="23" t="s">
        <v>69</v>
      </c>
      <c r="B154" s="24"/>
      <c r="C154" s="24"/>
      <c r="D154" s="24"/>
      <c r="E154" s="58">
        <v>-2000000</v>
      </c>
      <c r="F154" s="32"/>
      <c r="G154" s="15">
        <v>-2000000</v>
      </c>
      <c r="H154" s="32">
        <v>0</v>
      </c>
      <c r="I154" s="32">
        <v>0</v>
      </c>
      <c r="J154" s="15"/>
      <c r="K154" s="15"/>
      <c r="L154" s="15"/>
      <c r="M154" s="15"/>
      <c r="N154" s="15"/>
      <c r="O154" s="15"/>
      <c r="P154" s="15"/>
      <c r="Q154" s="15"/>
      <c r="R154" s="24"/>
      <c r="S154" s="24"/>
    </row>
    <row r="155" spans="1:19" s="4" customFormat="1" ht="12.75">
      <c r="A155" s="23" t="s">
        <v>38</v>
      </c>
      <c r="B155" s="24"/>
      <c r="C155" s="24"/>
      <c r="D155" s="24"/>
      <c r="E155" s="58">
        <v>-725000</v>
      </c>
      <c r="F155" s="32">
        <v>0</v>
      </c>
      <c r="G155" s="15">
        <v>-250000</v>
      </c>
      <c r="H155" s="15">
        <v>-225000</v>
      </c>
      <c r="I155" s="15">
        <v>-250000</v>
      </c>
      <c r="J155" s="15"/>
      <c r="K155" s="15"/>
      <c r="L155" s="15"/>
      <c r="M155" s="15"/>
      <c r="N155" s="15"/>
      <c r="O155" s="15"/>
      <c r="P155" s="15"/>
      <c r="Q155" s="15">
        <f>SUM(G155:M155)</f>
        <v>-725000</v>
      </c>
      <c r="R155" s="24"/>
      <c r="S155" s="24"/>
    </row>
    <row r="156" spans="1:19" s="2" customFormat="1" ht="12.75">
      <c r="A156" s="23" t="s">
        <v>39</v>
      </c>
      <c r="B156" s="24"/>
      <c r="C156" s="24"/>
      <c r="D156" s="24"/>
      <c r="E156" s="58">
        <v>-500000</v>
      </c>
      <c r="F156" s="32">
        <v>0</v>
      </c>
      <c r="G156" s="15">
        <v>-400000</v>
      </c>
      <c r="H156" s="15">
        <v>-100000</v>
      </c>
      <c r="I156" s="32">
        <v>0</v>
      </c>
      <c r="J156" s="15"/>
      <c r="K156" s="15"/>
      <c r="L156" s="15"/>
      <c r="M156" s="15"/>
      <c r="N156" s="15"/>
      <c r="O156" s="15"/>
      <c r="P156" s="15"/>
      <c r="Q156" s="15">
        <f>SUM(G156:M156)</f>
        <v>-500000</v>
      </c>
      <c r="R156" s="24"/>
      <c r="S156" s="24"/>
    </row>
    <row r="157" spans="1:19" s="4" customFormat="1" ht="12.75">
      <c r="A157" s="23" t="s">
        <v>40</v>
      </c>
      <c r="B157" s="24"/>
      <c r="C157" s="24"/>
      <c r="D157" s="24"/>
      <c r="E157" s="58">
        <v>-554000</v>
      </c>
      <c r="F157" s="32">
        <v>0</v>
      </c>
      <c r="G157" s="15">
        <v>-343000</v>
      </c>
      <c r="H157" s="15">
        <f>-554000+443200</f>
        <v>-110800</v>
      </c>
      <c r="I157" s="15">
        <v>-100200</v>
      </c>
      <c r="J157" s="15"/>
      <c r="K157" s="15"/>
      <c r="L157" s="15"/>
      <c r="M157" s="15"/>
      <c r="N157" s="15"/>
      <c r="O157" s="15"/>
      <c r="P157" s="15"/>
      <c r="Q157" s="15">
        <f>SUM(G157:M157)</f>
        <v>-554000</v>
      </c>
      <c r="R157" s="24"/>
      <c r="S157" s="24"/>
    </row>
    <row r="158" spans="1:19" s="2" customFormat="1" ht="12.75">
      <c r="A158" s="23"/>
      <c r="B158" s="24"/>
      <c r="C158" s="24"/>
      <c r="D158" s="24"/>
      <c r="E158" s="58"/>
      <c r="F158" s="32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24"/>
      <c r="S158" s="24"/>
    </row>
    <row r="159" spans="1:19" s="4" customFormat="1" ht="12.75">
      <c r="A159" s="28" t="s">
        <v>41</v>
      </c>
      <c r="B159" s="24"/>
      <c r="C159" s="24"/>
      <c r="D159" s="24"/>
      <c r="E159" s="58"/>
      <c r="F159" s="32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24"/>
      <c r="S159" s="24"/>
    </row>
    <row r="160" spans="1:19" s="2" customFormat="1" ht="12.75">
      <c r="A160" s="25" t="s">
        <v>42</v>
      </c>
      <c r="B160" s="24"/>
      <c r="C160" s="24"/>
      <c r="D160" s="24"/>
      <c r="E160" s="58">
        <v>-2750000</v>
      </c>
      <c r="F160" s="32">
        <v>0</v>
      </c>
      <c r="G160" s="15">
        <v>-2750000</v>
      </c>
      <c r="H160" s="32">
        <v>0</v>
      </c>
      <c r="I160" s="32">
        <v>0</v>
      </c>
      <c r="J160" s="15"/>
      <c r="K160" s="15"/>
      <c r="L160" s="15"/>
      <c r="M160" s="15"/>
      <c r="N160" s="15"/>
      <c r="O160" s="15"/>
      <c r="P160" s="15"/>
      <c r="Q160" s="15">
        <f aca="true" t="shared" si="53" ref="Q160:Q166">SUM(G160:M160)</f>
        <v>-2750000</v>
      </c>
      <c r="R160" s="24"/>
      <c r="S160" s="24"/>
    </row>
    <row r="161" spans="1:19" s="4" customFormat="1" ht="12.75">
      <c r="A161" s="23" t="s">
        <v>67</v>
      </c>
      <c r="B161" s="24"/>
      <c r="C161" s="24"/>
      <c r="D161" s="24"/>
      <c r="E161" s="58">
        <v>-1080000</v>
      </c>
      <c r="F161" s="32">
        <v>0</v>
      </c>
      <c r="G161" s="15">
        <v>-1080000</v>
      </c>
      <c r="H161" s="32">
        <v>0</v>
      </c>
      <c r="I161" s="32">
        <v>0</v>
      </c>
      <c r="J161" s="15"/>
      <c r="K161" s="15"/>
      <c r="L161" s="15"/>
      <c r="M161" s="15"/>
      <c r="N161" s="15"/>
      <c r="O161" s="15"/>
      <c r="P161" s="15"/>
      <c r="Q161" s="15">
        <f t="shared" si="53"/>
        <v>-1080000</v>
      </c>
      <c r="R161" s="24"/>
      <c r="S161" s="24"/>
    </row>
    <row r="162" spans="1:19" s="2" customFormat="1" ht="12.75">
      <c r="A162" s="23" t="s">
        <v>66</v>
      </c>
      <c r="B162" s="24"/>
      <c r="C162" s="24"/>
      <c r="D162" s="24"/>
      <c r="E162" s="58">
        <v>-2700000</v>
      </c>
      <c r="F162" s="32">
        <v>0</v>
      </c>
      <c r="G162" s="15">
        <v>-2700000</v>
      </c>
      <c r="H162" s="32">
        <v>0</v>
      </c>
      <c r="I162" s="32">
        <v>0</v>
      </c>
      <c r="J162" s="15"/>
      <c r="K162" s="15"/>
      <c r="L162" s="15"/>
      <c r="M162" s="15"/>
      <c r="N162" s="15"/>
      <c r="O162" s="15"/>
      <c r="P162" s="15"/>
      <c r="Q162" s="15">
        <f t="shared" si="53"/>
        <v>-2700000</v>
      </c>
      <c r="R162" s="24"/>
      <c r="S162" s="24"/>
    </row>
    <row r="163" spans="1:19" s="2" customFormat="1" ht="12.75">
      <c r="A163" s="23" t="s">
        <v>65</v>
      </c>
      <c r="B163" s="24"/>
      <c r="C163" s="24"/>
      <c r="D163" s="24"/>
      <c r="E163" s="58">
        <v>-2257500</v>
      </c>
      <c r="F163" s="32"/>
      <c r="G163" s="15">
        <v>0</v>
      </c>
      <c r="H163" s="32">
        <v>0</v>
      </c>
      <c r="I163" s="15">
        <v>-2257500</v>
      </c>
      <c r="J163" s="15"/>
      <c r="K163" s="15"/>
      <c r="L163" s="15"/>
      <c r="M163" s="15"/>
      <c r="N163" s="15"/>
      <c r="O163" s="15"/>
      <c r="P163" s="15"/>
      <c r="Q163" s="15">
        <f t="shared" si="53"/>
        <v>-2257500</v>
      </c>
      <c r="R163" s="24"/>
      <c r="S163" s="24"/>
    </row>
    <row r="164" spans="1:19" s="4" customFormat="1" ht="12.75">
      <c r="A164" s="23" t="s">
        <v>43</v>
      </c>
      <c r="B164" s="24"/>
      <c r="C164" s="24"/>
      <c r="D164" s="24"/>
      <c r="E164" s="58">
        <v>-156000</v>
      </c>
      <c r="F164" s="32">
        <v>0</v>
      </c>
      <c r="G164" s="15">
        <v>-156000</v>
      </c>
      <c r="H164" s="32">
        <v>0</v>
      </c>
      <c r="I164" s="32">
        <v>0</v>
      </c>
      <c r="J164" s="15"/>
      <c r="K164" s="15"/>
      <c r="L164" s="15"/>
      <c r="M164" s="15"/>
      <c r="N164" s="15"/>
      <c r="O164" s="15"/>
      <c r="P164" s="15"/>
      <c r="Q164" s="15">
        <f t="shared" si="53"/>
        <v>-156000</v>
      </c>
      <c r="R164" s="24"/>
      <c r="S164" s="24"/>
    </row>
    <row r="165" spans="1:19" s="2" customFormat="1" ht="12.75">
      <c r="A165" s="23" t="s">
        <v>44</v>
      </c>
      <c r="B165" s="24"/>
      <c r="C165" s="24"/>
      <c r="D165" s="24"/>
      <c r="E165" s="58">
        <v>-194005</v>
      </c>
      <c r="F165" s="32">
        <v>0</v>
      </c>
      <c r="G165" s="15">
        <v>-194005</v>
      </c>
      <c r="H165" s="32">
        <v>0</v>
      </c>
      <c r="I165" s="32">
        <v>0</v>
      </c>
      <c r="J165" s="15"/>
      <c r="K165" s="15"/>
      <c r="L165" s="15"/>
      <c r="M165" s="15"/>
      <c r="N165" s="15"/>
      <c r="O165" s="15"/>
      <c r="P165" s="15"/>
      <c r="Q165" s="15">
        <f t="shared" si="53"/>
        <v>-194005</v>
      </c>
      <c r="R165" s="24"/>
      <c r="S165" s="24"/>
    </row>
    <row r="166" spans="1:19" s="2" customFormat="1" ht="12.75">
      <c r="A166" s="25" t="s">
        <v>40</v>
      </c>
      <c r="B166" s="24"/>
      <c r="C166" s="24"/>
      <c r="D166" s="24"/>
      <c r="E166" s="58">
        <v>-862495</v>
      </c>
      <c r="F166" s="32">
        <v>0</v>
      </c>
      <c r="G166" s="15">
        <v>-689996</v>
      </c>
      <c r="H166" s="15">
        <f>-862495+689996</f>
        <v>-172499</v>
      </c>
      <c r="I166" s="32">
        <v>0</v>
      </c>
      <c r="J166" s="15"/>
      <c r="K166" s="15"/>
      <c r="L166" s="15"/>
      <c r="M166" s="15"/>
      <c r="N166" s="15"/>
      <c r="O166" s="15"/>
      <c r="P166" s="15"/>
      <c r="Q166" s="15">
        <f t="shared" si="53"/>
        <v>-862495</v>
      </c>
      <c r="R166" s="24"/>
      <c r="S166" s="24"/>
    </row>
    <row r="167" spans="1:19" s="4" customFormat="1" ht="12.75">
      <c r="A167" s="25"/>
      <c r="B167" s="24"/>
      <c r="C167" s="24"/>
      <c r="D167" s="24"/>
      <c r="E167" s="58"/>
      <c r="F167" s="32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24"/>
      <c r="S167" s="24"/>
    </row>
    <row r="168" spans="1:19" s="2" customFormat="1" ht="12.75">
      <c r="A168" s="28" t="s">
        <v>45</v>
      </c>
      <c r="B168" s="24"/>
      <c r="C168" s="24"/>
      <c r="D168" s="24"/>
      <c r="E168" s="58"/>
      <c r="F168" s="32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24"/>
      <c r="S168" s="24"/>
    </row>
    <row r="169" spans="1:19" s="4" customFormat="1" ht="12.75">
      <c r="A169" s="25" t="s">
        <v>46</v>
      </c>
      <c r="B169" s="24"/>
      <c r="C169" s="24"/>
      <c r="D169" s="24"/>
      <c r="E169" s="58">
        <v>-1579500</v>
      </c>
      <c r="F169" s="32">
        <v>0</v>
      </c>
      <c r="G169" s="15">
        <v>-789750</v>
      </c>
      <c r="H169" s="15">
        <v>-394875</v>
      </c>
      <c r="I169" s="15">
        <v>-394875</v>
      </c>
      <c r="J169" s="15"/>
      <c r="K169" s="15"/>
      <c r="L169" s="15"/>
      <c r="M169" s="15"/>
      <c r="N169" s="15"/>
      <c r="O169" s="15"/>
      <c r="P169" s="15"/>
      <c r="Q169" s="15">
        <f>SUM(G169:M169)</f>
        <v>-1579500</v>
      </c>
      <c r="R169" s="24"/>
      <c r="S169" s="24"/>
    </row>
    <row r="170" spans="1:19" s="2" customFormat="1" ht="12.75">
      <c r="A170" s="25" t="s">
        <v>47</v>
      </c>
      <c r="B170" s="24"/>
      <c r="C170" s="24"/>
      <c r="D170" s="24"/>
      <c r="E170" s="58">
        <v>-450000</v>
      </c>
      <c r="F170" s="32">
        <v>0</v>
      </c>
      <c r="G170" s="15">
        <v>0</v>
      </c>
      <c r="H170" s="15">
        <v>-225000</v>
      </c>
      <c r="I170" s="15">
        <v>-225000</v>
      </c>
      <c r="J170" s="15"/>
      <c r="K170" s="15"/>
      <c r="L170" s="15"/>
      <c r="M170" s="15"/>
      <c r="N170" s="15"/>
      <c r="O170" s="15"/>
      <c r="P170" s="15"/>
      <c r="Q170" s="15">
        <f>SUM(G170:M170)</f>
        <v>-450000</v>
      </c>
      <c r="R170" s="24"/>
      <c r="S170" s="24"/>
    </row>
    <row r="171" spans="1:19" s="4" customFormat="1" ht="12.75">
      <c r="A171" s="25" t="s">
        <v>48</v>
      </c>
      <c r="B171" s="24"/>
      <c r="C171" s="24"/>
      <c r="D171" s="24"/>
      <c r="E171" s="58">
        <v>-500000</v>
      </c>
      <c r="F171" s="32">
        <v>0</v>
      </c>
      <c r="G171" s="15">
        <v>-250000</v>
      </c>
      <c r="H171" s="15">
        <v>-125000</v>
      </c>
      <c r="I171" s="15">
        <v>-125000</v>
      </c>
      <c r="J171" s="15"/>
      <c r="K171" s="15"/>
      <c r="L171" s="15"/>
      <c r="M171" s="15"/>
      <c r="N171" s="15"/>
      <c r="O171" s="15"/>
      <c r="P171" s="15"/>
      <c r="Q171" s="15">
        <f>SUM(G171:M171)</f>
        <v>-500000</v>
      </c>
      <c r="R171" s="24"/>
      <c r="S171" s="24"/>
    </row>
    <row r="172" spans="1:19" s="2" customFormat="1" ht="12.75">
      <c r="A172" s="25"/>
      <c r="B172" s="24"/>
      <c r="C172" s="24"/>
      <c r="D172" s="24"/>
      <c r="E172" s="58"/>
      <c r="F172" s="32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24"/>
      <c r="S172" s="24"/>
    </row>
    <row r="173" spans="1:19" s="4" customFormat="1" ht="12.75">
      <c r="A173" s="25" t="s">
        <v>54</v>
      </c>
      <c r="B173" s="24"/>
      <c r="C173" s="24"/>
      <c r="D173" s="24"/>
      <c r="E173" s="58">
        <v>-2250000</v>
      </c>
      <c r="F173" s="38">
        <v>-1000000</v>
      </c>
      <c r="G173" s="15">
        <v>-500000</v>
      </c>
      <c r="H173" s="15">
        <v>-500000</v>
      </c>
      <c r="I173" s="15">
        <v>-250000</v>
      </c>
      <c r="J173" s="15"/>
      <c r="K173" s="15"/>
      <c r="L173" s="15"/>
      <c r="M173" s="15"/>
      <c r="N173" s="15"/>
      <c r="O173" s="15"/>
      <c r="P173" s="15"/>
      <c r="Q173" s="15">
        <f>SUM(G173:M173)</f>
        <v>-1250000</v>
      </c>
      <c r="R173" s="24"/>
      <c r="S173" s="24"/>
    </row>
    <row r="174" spans="1:19" s="2" customFormat="1" ht="12.75">
      <c r="A174" s="25" t="s">
        <v>55</v>
      </c>
      <c r="B174" s="24"/>
      <c r="C174" s="24"/>
      <c r="D174" s="24"/>
      <c r="E174" s="58">
        <v>-1076475</v>
      </c>
      <c r="F174" s="32">
        <v>0</v>
      </c>
      <c r="G174" s="29">
        <f>0.05*SUM(G150:G171)</f>
        <v>-687637.55</v>
      </c>
      <c r="H174" s="29">
        <f>0.05*SUM(H150:H171)</f>
        <v>-149983.7</v>
      </c>
      <c r="I174" s="15">
        <f>0.05*SUM(I150:I171)</f>
        <v>-238853.75</v>
      </c>
      <c r="J174" s="15"/>
      <c r="K174" s="15"/>
      <c r="L174" s="15"/>
      <c r="M174" s="15"/>
      <c r="N174" s="15"/>
      <c r="O174" s="15"/>
      <c r="P174" s="15"/>
      <c r="Q174" s="15">
        <f>SUM(G174:M174)</f>
        <v>-1076475</v>
      </c>
      <c r="R174" s="24"/>
      <c r="S174" s="24"/>
    </row>
    <row r="175" spans="1:19" s="4" customFormat="1" ht="12.75">
      <c r="A175" s="25"/>
      <c r="B175" s="24"/>
      <c r="C175" s="24"/>
      <c r="D175" s="24"/>
      <c r="E175" s="58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24"/>
      <c r="S175" s="24"/>
    </row>
    <row r="176" spans="1:19" s="4" customFormat="1" ht="12.75">
      <c r="A176" s="25"/>
      <c r="B176" s="24"/>
      <c r="C176" s="24"/>
      <c r="D176" s="24"/>
      <c r="E176" s="58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24"/>
      <c r="S176" s="24"/>
    </row>
    <row r="177" spans="1:19" s="2" customFormat="1" ht="12.75">
      <c r="A177" s="24"/>
      <c r="B177" s="24"/>
      <c r="C177" s="24"/>
      <c r="D177" s="24"/>
      <c r="E177" s="58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24"/>
      <c r="S177" s="24"/>
    </row>
    <row r="178" spans="1:19" s="4" customFormat="1" ht="12.75">
      <c r="A178" s="24" t="s">
        <v>19</v>
      </c>
      <c r="B178" s="24"/>
      <c r="C178" s="26">
        <v>0</v>
      </c>
      <c r="D178" s="24"/>
      <c r="E178" s="59"/>
      <c r="F178" s="22">
        <f>SUM(F152:F177)*$C$178</f>
        <v>0</v>
      </c>
      <c r="G178" s="22">
        <f>SUM(G152:G177)*$C$178</f>
        <v>0</v>
      </c>
      <c r="H178" s="22">
        <f>SUM(H152:H177)*$C$178</f>
        <v>0</v>
      </c>
      <c r="I178" s="22">
        <f>SUM(I175:I177)*$C$178</f>
        <v>0</v>
      </c>
      <c r="J178" s="22"/>
      <c r="K178" s="22"/>
      <c r="L178" s="22"/>
      <c r="M178" s="22"/>
      <c r="N178" s="22">
        <f>SUM(N152:N177)*$C$178</f>
        <v>0</v>
      </c>
      <c r="O178" s="22">
        <f>SUM(O152:O177)*$C$178</f>
        <v>0</v>
      </c>
      <c r="P178" s="22">
        <f>SUM(P152:P177)*$C$178</f>
        <v>0</v>
      </c>
      <c r="Q178" s="22">
        <f>+P178+O178+N178+M178+L178+K178+J178+I178+H178+G178+F178+E178</f>
        <v>0</v>
      </c>
      <c r="R178" s="24"/>
      <c r="S178" s="24"/>
    </row>
    <row r="179" spans="1:19" ht="12.75">
      <c r="A179" s="6" t="s">
        <v>20</v>
      </c>
      <c r="B179" s="6"/>
      <c r="C179" s="6"/>
      <c r="D179" s="6"/>
      <c r="E179" s="15">
        <f>SUM(E147:E177)</f>
        <v>-34855975</v>
      </c>
      <c r="F179" s="15">
        <f aca="true" t="shared" si="54" ref="F179:P179">SUM(F147:F178)</f>
        <v>-11000000</v>
      </c>
      <c r="G179" s="15">
        <f t="shared" si="54"/>
        <v>-14940388.55</v>
      </c>
      <c r="H179" s="15">
        <f t="shared" si="54"/>
        <v>-3649657.7</v>
      </c>
      <c r="I179" s="15">
        <f t="shared" si="54"/>
        <v>-5265928.75</v>
      </c>
      <c r="J179" s="15">
        <f t="shared" si="54"/>
        <v>0</v>
      </c>
      <c r="K179" s="15">
        <f t="shared" si="54"/>
        <v>0</v>
      </c>
      <c r="L179" s="15">
        <f t="shared" si="54"/>
        <v>0</v>
      </c>
      <c r="M179" s="15">
        <f t="shared" si="54"/>
        <v>0</v>
      </c>
      <c r="N179" s="15">
        <f t="shared" si="54"/>
        <v>0</v>
      </c>
      <c r="O179" s="15">
        <f t="shared" si="54"/>
        <v>0</v>
      </c>
      <c r="P179" s="15">
        <f t="shared" si="54"/>
        <v>0</v>
      </c>
      <c r="Q179" s="15">
        <f>SUM(F179:M179)</f>
        <v>-34855975</v>
      </c>
      <c r="R179" s="6"/>
      <c r="S179" s="6"/>
    </row>
    <row r="180" spans="1:19" s="3" customFormat="1" ht="12.75">
      <c r="A180" s="6"/>
      <c r="B180" s="6"/>
      <c r="C180" s="6"/>
      <c r="D180" s="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>
        <f aca="true" t="shared" si="55" ref="Q180:Q185">+P180+O180+N180+M180+L180+K180+J180+I180+H180+G180+F180+E180</f>
        <v>0</v>
      </c>
      <c r="R180" s="6"/>
      <c r="S180" s="6"/>
    </row>
    <row r="181" spans="1:19" ht="12.75">
      <c r="A181" s="19" t="s">
        <v>21</v>
      </c>
      <c r="B181" s="6"/>
      <c r="C181" s="6"/>
      <c r="D181" s="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>
        <f t="shared" si="55"/>
        <v>0</v>
      </c>
      <c r="R181" s="6"/>
      <c r="S181" s="6"/>
    </row>
    <row r="182" spans="1:19" s="3" customFormat="1" ht="12.75">
      <c r="A182" s="6" t="s">
        <v>11</v>
      </c>
      <c r="B182" s="6"/>
      <c r="C182" s="6"/>
      <c r="D182" s="6"/>
      <c r="E182" s="15"/>
      <c r="F182" s="15">
        <f aca="true" t="shared" si="56" ref="F182:P182">F137</f>
        <v>8460000</v>
      </c>
      <c r="G182" s="15">
        <f t="shared" si="56"/>
        <v>3621387.6</v>
      </c>
      <c r="H182" s="15">
        <f t="shared" si="56"/>
        <v>9278138.634999998</v>
      </c>
      <c r="I182" s="15">
        <f t="shared" si="56"/>
        <v>12563552.84077</v>
      </c>
      <c r="J182" s="15">
        <f t="shared" si="56"/>
        <v>4597444.6218237</v>
      </c>
      <c r="K182" s="15">
        <f t="shared" si="56"/>
        <v>1096528.3650285124</v>
      </c>
      <c r="L182" s="15">
        <f t="shared" si="56"/>
        <v>0</v>
      </c>
      <c r="M182" s="15">
        <f t="shared" si="56"/>
        <v>0</v>
      </c>
      <c r="N182" s="15">
        <f t="shared" si="56"/>
        <v>0</v>
      </c>
      <c r="O182" s="15">
        <f t="shared" si="56"/>
        <v>0</v>
      </c>
      <c r="P182" s="15">
        <f t="shared" si="56"/>
        <v>0</v>
      </c>
      <c r="Q182" s="15">
        <f t="shared" si="55"/>
        <v>39617052.06262221</v>
      </c>
      <c r="R182" s="6"/>
      <c r="S182" s="6"/>
    </row>
    <row r="183" spans="1:19" ht="12.75">
      <c r="A183" s="6" t="s">
        <v>16</v>
      </c>
      <c r="B183" s="6"/>
      <c r="C183" s="6"/>
      <c r="D183" s="6"/>
      <c r="E183" s="15"/>
      <c r="F183" s="15">
        <f aca="true" t="shared" si="57" ref="F183:P183">F143</f>
        <v>-113860.00000000003</v>
      </c>
      <c r="G183" s="15">
        <f t="shared" si="57"/>
        <v>-110104.72000000003</v>
      </c>
      <c r="H183" s="15">
        <f t="shared" si="57"/>
        <v>-94353.06400000003</v>
      </c>
      <c r="I183" s="15">
        <f t="shared" si="57"/>
        <v>-61618.00000000006</v>
      </c>
      <c r="J183" s="15">
        <f t="shared" si="57"/>
        <v>-34970.50000000007</v>
      </c>
      <c r="K183" s="15">
        <f t="shared" si="57"/>
        <v>-25000</v>
      </c>
      <c r="L183" s="15">
        <f t="shared" si="57"/>
        <v>0</v>
      </c>
      <c r="M183" s="15">
        <f t="shared" si="57"/>
        <v>0</v>
      </c>
      <c r="N183" s="15">
        <f t="shared" si="57"/>
        <v>0</v>
      </c>
      <c r="O183" s="15">
        <f t="shared" si="57"/>
        <v>0</v>
      </c>
      <c r="P183" s="15">
        <f t="shared" si="57"/>
        <v>0</v>
      </c>
      <c r="Q183" s="15">
        <f t="shared" si="55"/>
        <v>-439906.2840000002</v>
      </c>
      <c r="R183" s="6"/>
      <c r="S183" s="6"/>
    </row>
    <row r="184" spans="1:19" s="3" customFormat="1" ht="12.75">
      <c r="A184" s="6" t="s">
        <v>20</v>
      </c>
      <c r="B184" s="6"/>
      <c r="C184" s="6"/>
      <c r="D184" s="6"/>
      <c r="E184" s="20"/>
      <c r="F184" s="39">
        <f aca="true" t="shared" si="58" ref="F184:P184">F179</f>
        <v>-11000000</v>
      </c>
      <c r="G184" s="39">
        <f t="shared" si="58"/>
        <v>-14940388.55</v>
      </c>
      <c r="H184" s="39">
        <f t="shared" si="58"/>
        <v>-3649657.7</v>
      </c>
      <c r="I184" s="39">
        <f t="shared" si="58"/>
        <v>-5265928.75</v>
      </c>
      <c r="J184" s="39">
        <f t="shared" si="58"/>
        <v>0</v>
      </c>
      <c r="K184" s="39">
        <f t="shared" si="58"/>
        <v>0</v>
      </c>
      <c r="L184" s="39">
        <f t="shared" si="58"/>
        <v>0</v>
      </c>
      <c r="M184" s="39">
        <f t="shared" si="58"/>
        <v>0</v>
      </c>
      <c r="N184" s="39">
        <f t="shared" si="58"/>
        <v>0</v>
      </c>
      <c r="O184" s="39">
        <f t="shared" si="58"/>
        <v>0</v>
      </c>
      <c r="P184" s="39">
        <f t="shared" si="58"/>
        <v>0</v>
      </c>
      <c r="Q184" s="39">
        <f t="shared" si="55"/>
        <v>-34855975</v>
      </c>
      <c r="R184" s="6"/>
      <c r="S184" s="6"/>
    </row>
    <row r="185" spans="1:19" ht="12.75">
      <c r="A185" s="6" t="s">
        <v>22</v>
      </c>
      <c r="B185" s="6"/>
      <c r="C185" s="6"/>
      <c r="D185" s="6"/>
      <c r="E185" s="15"/>
      <c r="F185" s="15">
        <f aca="true" t="shared" si="59" ref="F185:P185">SUM(F182:F184)</f>
        <v>-2653860</v>
      </c>
      <c r="G185" s="15">
        <f t="shared" si="59"/>
        <v>-11429105.670000002</v>
      </c>
      <c r="H185" s="15">
        <f t="shared" si="59"/>
        <v>5534127.870999998</v>
      </c>
      <c r="I185" s="15">
        <f t="shared" si="59"/>
        <v>7236006.090770001</v>
      </c>
      <c r="J185" s="15">
        <f t="shared" si="59"/>
        <v>4562474.1218237</v>
      </c>
      <c r="K185" s="15">
        <f t="shared" si="59"/>
        <v>1071528.3650285124</v>
      </c>
      <c r="L185" s="15">
        <f t="shared" si="59"/>
        <v>0</v>
      </c>
      <c r="M185" s="15">
        <f t="shared" si="59"/>
        <v>0</v>
      </c>
      <c r="N185" s="15">
        <f t="shared" si="59"/>
        <v>0</v>
      </c>
      <c r="O185" s="15">
        <f t="shared" si="59"/>
        <v>0</v>
      </c>
      <c r="P185" s="15">
        <f t="shared" si="59"/>
        <v>0</v>
      </c>
      <c r="Q185" s="15">
        <f t="shared" si="55"/>
        <v>4321170.77862221</v>
      </c>
      <c r="R185" s="6"/>
      <c r="S185" s="6"/>
    </row>
    <row r="186" spans="1:19" s="3" customFormat="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7"/>
      <c r="R186" s="6"/>
      <c r="S186" s="6"/>
    </row>
    <row r="187" spans="1:19" ht="12.75">
      <c r="A187" s="6"/>
      <c r="B187" s="6"/>
      <c r="C187" s="6"/>
      <c r="D187" s="6"/>
      <c r="E187" s="2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7"/>
      <c r="R187" s="6"/>
      <c r="S187" s="6"/>
    </row>
    <row r="188" spans="1:19" s="3" customFormat="1" ht="12.75">
      <c r="A188" s="6"/>
      <c r="B188" s="6"/>
      <c r="C188" s="6"/>
      <c r="D188" s="6"/>
      <c r="E188" s="2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7"/>
      <c r="R188" s="6"/>
      <c r="S188" s="6"/>
    </row>
    <row r="189" spans="1:19" ht="15.75">
      <c r="A189" s="5" t="s">
        <v>24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7"/>
      <c r="R189" s="6"/>
      <c r="S189" s="6"/>
    </row>
    <row r="190" spans="1:1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7"/>
      <c r="R190" s="6"/>
      <c r="S190" s="6"/>
    </row>
    <row r="191" spans="1:19" s="3" customFormat="1" ht="12.75">
      <c r="A191" s="36" t="s">
        <v>23</v>
      </c>
      <c r="B191" s="36"/>
      <c r="C191" s="36"/>
      <c r="D191" s="36"/>
      <c r="E191" s="34">
        <f>IRR(F185:K185)</f>
        <v>0.12840122944256754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7"/>
      <c r="R191" s="6"/>
      <c r="S191" s="6"/>
    </row>
    <row r="192" spans="1:19" ht="12" customHeight="1">
      <c r="A192" s="6" t="s">
        <v>56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7"/>
      <c r="R192" s="6"/>
      <c r="S192" s="6"/>
    </row>
    <row r="193" spans="1:2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U193" s="37"/>
      <c r="V193" s="1"/>
    </row>
    <row r="194" spans="1:22" ht="12.75">
      <c r="A194" s="9" t="s">
        <v>59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U194" s="37"/>
      <c r="V194" s="1"/>
    </row>
    <row r="195" spans="1:19" ht="12.75">
      <c r="A195" s="6" t="s">
        <v>57</v>
      </c>
      <c r="B195" s="6"/>
      <c r="C195" s="6"/>
      <c r="D195" s="6"/>
      <c r="E195" s="6"/>
      <c r="F195" s="32">
        <v>0</v>
      </c>
      <c r="G195" s="38">
        <v>1500000</v>
      </c>
      <c r="H195" s="38">
        <v>500000</v>
      </c>
      <c r="I195" s="6"/>
      <c r="J195" s="6"/>
      <c r="K195" s="6"/>
      <c r="L195" s="6"/>
      <c r="M195" s="6"/>
      <c r="N195" s="6"/>
      <c r="O195" s="6"/>
      <c r="P195" s="6"/>
      <c r="Q195" s="7"/>
      <c r="R195" s="6"/>
      <c r="S195" s="6"/>
    </row>
    <row r="196" spans="1:19" ht="12.75">
      <c r="A196" s="6" t="s">
        <v>68</v>
      </c>
      <c r="B196" s="6"/>
      <c r="C196" s="6"/>
      <c r="D196" s="6"/>
      <c r="E196" s="6"/>
      <c r="F196" s="44">
        <v>0</v>
      </c>
      <c r="G196" s="38">
        <v>2000000</v>
      </c>
      <c r="H196" s="38">
        <v>0</v>
      </c>
      <c r="I196" s="6"/>
      <c r="J196" s="6"/>
      <c r="K196" s="6"/>
      <c r="L196" s="6"/>
      <c r="M196" s="6"/>
      <c r="N196" s="6"/>
      <c r="O196" s="6"/>
      <c r="P196" s="6"/>
      <c r="Q196" s="7"/>
      <c r="R196" s="6"/>
      <c r="S196" s="6"/>
    </row>
    <row r="197" spans="1:19" ht="12.75">
      <c r="A197" s="6" t="s">
        <v>58</v>
      </c>
      <c r="B197" s="6"/>
      <c r="C197" s="6"/>
      <c r="D197" s="6"/>
      <c r="E197" s="6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6"/>
      <c r="R197" s="6"/>
      <c r="S197" s="6"/>
    </row>
    <row r="198" spans="1:19" ht="12.75">
      <c r="A198" s="6"/>
      <c r="B198" s="6"/>
      <c r="C198" s="6"/>
      <c r="D198" s="6"/>
      <c r="E198" s="6"/>
      <c r="F198" s="43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8"/>
      <c r="R198" s="6"/>
      <c r="S198" s="6"/>
    </row>
    <row r="199" spans="1:19" ht="12.75">
      <c r="A199" s="6" t="s">
        <v>64</v>
      </c>
      <c r="B199" s="6"/>
      <c r="C199" s="6"/>
      <c r="D199" s="6"/>
      <c r="E199" s="6"/>
      <c r="F199" s="42">
        <f>+F185+F195</f>
        <v>-2653860</v>
      </c>
      <c r="G199" s="42">
        <f>+G185+G195+G196</f>
        <v>-7929105.670000002</v>
      </c>
      <c r="H199" s="42">
        <f aca="true" t="shared" si="60" ref="H199:M199">+H185+H195</f>
        <v>6034127.870999998</v>
      </c>
      <c r="I199" s="42">
        <f t="shared" si="60"/>
        <v>7236006.090770001</v>
      </c>
      <c r="J199" s="42">
        <f t="shared" si="60"/>
        <v>4562474.1218237</v>
      </c>
      <c r="K199" s="42">
        <f t="shared" si="60"/>
        <v>1071528.3650285124</v>
      </c>
      <c r="L199" s="42">
        <f t="shared" si="60"/>
        <v>0</v>
      </c>
      <c r="M199" s="42">
        <f t="shared" si="60"/>
        <v>0</v>
      </c>
      <c r="N199" s="6"/>
      <c r="O199" s="6"/>
      <c r="P199" s="6"/>
      <c r="Q199" s="15">
        <f>SUM(F199:M199)</f>
        <v>8321170.77862221</v>
      </c>
      <c r="R199" s="6"/>
      <c r="S199" s="6"/>
    </row>
    <row r="200" spans="1:19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7"/>
      <c r="R200" s="6"/>
      <c r="S200" s="6"/>
    </row>
    <row r="201" spans="1:19" ht="12.75">
      <c r="A201" s="36" t="s">
        <v>60</v>
      </c>
      <c r="B201" s="36"/>
      <c r="C201" s="36"/>
      <c r="D201" s="36"/>
      <c r="E201" s="34">
        <f>IRR(F199:K199)</f>
        <v>0.2997883616356664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7"/>
      <c r="R201" s="6"/>
      <c r="S201" s="6"/>
    </row>
    <row r="202" spans="1:19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7"/>
      <c r="R202" s="6"/>
      <c r="S202" s="6"/>
    </row>
    <row r="203" spans="1:19" ht="12.75">
      <c r="A203" s="9" t="s">
        <v>61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7"/>
      <c r="R203" s="6"/>
      <c r="S203" s="6"/>
    </row>
    <row r="204" spans="1:19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7"/>
      <c r="R204" s="6"/>
      <c r="S204" s="6"/>
    </row>
    <row r="205" spans="1:19" ht="12.75">
      <c r="A205" s="6"/>
      <c r="B205" s="6"/>
      <c r="C205" s="6"/>
      <c r="D205" s="6"/>
      <c r="E205" s="6"/>
      <c r="F205" s="42"/>
      <c r="G205" s="42"/>
      <c r="H205" s="42"/>
      <c r="I205" s="42"/>
      <c r="J205" s="6"/>
      <c r="K205" s="6"/>
      <c r="L205" s="6"/>
      <c r="M205" s="6"/>
      <c r="N205" s="6"/>
      <c r="O205" s="6"/>
      <c r="P205" s="6"/>
      <c r="Q205" s="7"/>
      <c r="R205" s="6"/>
      <c r="S205" s="6"/>
    </row>
    <row r="206" spans="1:19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7"/>
      <c r="R206" s="6"/>
      <c r="S206" s="6"/>
    </row>
    <row r="207" spans="1:19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7"/>
      <c r="R207" s="6"/>
      <c r="S207" s="6"/>
    </row>
    <row r="208" spans="1:19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7"/>
      <c r="R208" s="6"/>
      <c r="S208" s="6"/>
    </row>
    <row r="209" spans="1:1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7"/>
      <c r="R209" s="6"/>
      <c r="S209" s="6"/>
    </row>
  </sheetData>
  <printOptions horizontalCentered="1" verticalCentered="1"/>
  <pageMargins left="0.5" right="0.5" top="0.5" bottom="0.5" header="0" footer="0"/>
  <pageSetup fitToHeight="3" fitToWidth="1" horizontalDpi="600" verticalDpi="600" orientation="landscape" paperSize="17" scale="54" r:id="rId1"/>
  <headerFooter alignWithMargins="0">
    <oddHeader>&amp;CPage &amp;P&amp;RLand Development Model Concept Plan Belk Tract 2.xls</oddHeader>
    <oddFooter>&amp;LConfidential Draft - &amp;T on &amp;D&amp;RCrescent Resources Mid-Atlantic Region</oddFooter>
  </headerFooter>
  <rowBreaks count="2" manualBreakCount="2">
    <brk id="144" max="24" man="1"/>
    <brk id="187" max="255" man="1"/>
  </rowBreaks>
  <colBreaks count="1" manualBreakCount="1">
    <brk id="17" max="3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Crescent Resources,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KWC8057</dc:creator>
  <cp:keywords/>
  <dc:description/>
  <cp:lastModifiedBy>CRI</cp:lastModifiedBy>
  <cp:lastPrinted>2006-12-19T18:56:04Z</cp:lastPrinted>
  <dcterms:created xsi:type="dcterms:W3CDTF">2002-10-30T17:23:23Z</dcterms:created>
  <dcterms:modified xsi:type="dcterms:W3CDTF">2006-12-19T21:52:23Z</dcterms:modified>
  <cp:category/>
  <cp:version/>
  <cp:contentType/>
  <cp:contentStatus/>
</cp:coreProperties>
</file>